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341" windowWidth="8160" windowHeight="9690" tabRatio="801" activeTab="0"/>
  </bookViews>
  <sheets>
    <sheet name="Реестр " sheetId="1" r:id="rId1"/>
  </sheets>
  <definedNames>
    <definedName name="_xlnm.Print_Titles" localSheetId="0">'Реестр '!$6:$9</definedName>
    <definedName name="_xlnm.Print_Area" localSheetId="0">'Реестр '!$A$1:$Q$297</definedName>
    <definedName name="С308" localSheetId="0">'Реестр '!#REF!</definedName>
    <definedName name="С308">#REF!</definedName>
  </definedNames>
  <calcPr fullCalcOnLoad="1"/>
</workbook>
</file>

<file path=xl/sharedStrings.xml><?xml version="1.0" encoding="utf-8"?>
<sst xmlns="http://schemas.openxmlformats.org/spreadsheetml/2006/main" count="1469" uniqueCount="639">
  <si>
    <t>РО-Б-0006</t>
  </si>
  <si>
    <t>РО-Б-0013</t>
  </si>
  <si>
    <t>РО-Б-0021</t>
  </si>
  <si>
    <t>РО-Б-0022</t>
  </si>
  <si>
    <t>РО-А-0007</t>
  </si>
  <si>
    <t>РО-Б-0061</t>
  </si>
  <si>
    <t>11.02.2008 г.</t>
  </si>
  <si>
    <t>не ограничен</t>
  </si>
  <si>
    <t>Распоряжение Главы администрации города Байконур от 06.07.2010г. № 01-157р "О реорганизации ГУП  "Инженерные работы"</t>
  </si>
  <si>
    <t>РО-Б-0023</t>
  </si>
  <si>
    <t>1001</t>
  </si>
  <si>
    <t>РО-Б-0014</t>
  </si>
  <si>
    <t>РО-Б-0015</t>
  </si>
  <si>
    <t>РО-Б-0018</t>
  </si>
  <si>
    <t>РО-Б-0024</t>
  </si>
  <si>
    <t>РО-Б-0031</t>
  </si>
  <si>
    <t>РО-Б-0052</t>
  </si>
  <si>
    <t>РО-Б-0063</t>
  </si>
  <si>
    <t>РО-Б-0066</t>
  </si>
  <si>
    <t>Постановление Главы администрации от 17.10.2012 г. № 185 "Об установлении регионального стандарта нормативной площади жилого помещения и социальные нормы потребления электрической энергии, применяемых для расчета субсидий, компенсаций на оплату жилого помещения и коммунальных услуг".</t>
  </si>
  <si>
    <t>РО-Б-0074</t>
  </si>
  <si>
    <t>01.01.2011 г.</t>
  </si>
  <si>
    <t>Выплаты по предоставлению отдельных мер социальной поддержки граждан, подвергшихся воздействию радиации</t>
  </si>
  <si>
    <t>Стипендия учащимся государственных образовательных учреждений среднего профессионального образования</t>
  </si>
  <si>
    <t>РО-Б-0026</t>
  </si>
  <si>
    <t>Возмещение расходов на содержание незаселённых жилых помещений жилищного фонда города Байконур и оплату коммунальных услуг</t>
  </si>
  <si>
    <t>РО-Б-0019</t>
  </si>
  <si>
    <t>РО-Б-0032</t>
  </si>
  <si>
    <t>РО-Б-0033</t>
  </si>
  <si>
    <t>РО-Б-0034</t>
  </si>
  <si>
    <t>РО-Б-0036</t>
  </si>
  <si>
    <t>РО-Б-0037</t>
  </si>
  <si>
    <t>РО-Б-0039</t>
  </si>
  <si>
    <t>РО-Б-0041</t>
  </si>
  <si>
    <t>РО-Б-0062</t>
  </si>
  <si>
    <t>РО-Б-0064</t>
  </si>
  <si>
    <t>РО-Б-0065</t>
  </si>
  <si>
    <t>РО-Б-0067</t>
  </si>
  <si>
    <t>РО-Б-0068</t>
  </si>
  <si>
    <t>РО-Б-0069</t>
  </si>
  <si>
    <t>РО-Б-0070</t>
  </si>
  <si>
    <t>РО-Б-0071</t>
  </si>
  <si>
    <t>РО-Б-0072</t>
  </si>
  <si>
    <t>РО-Б-0076</t>
  </si>
  <si>
    <t>РО-Б-0077</t>
  </si>
  <si>
    <t>РО-Б-0078</t>
  </si>
  <si>
    <t>РО-Б-0079</t>
  </si>
  <si>
    <t>РО-Б-0080</t>
  </si>
  <si>
    <t>РО-Б-0011</t>
  </si>
  <si>
    <t>Постановление Главы администрации от 06.02.2013 г. № 14 "Об утверждении Порядка назначения и выплаты социальных пособий отдельным категориям семей и детям, проживающим в городе Байконур, и Порядка предоставления компенсации стоимости проезда к месту лечения, консультации, санаторно-курортного лечения, госпитализации и обратно детям, не имеющим статуса ребенка инвалида, и лицам, их сопровождающим"</t>
  </si>
  <si>
    <t xml:space="preserve">Компенсация по оплате АТС </t>
  </si>
  <si>
    <t xml:space="preserve">Государственная социальная помощь 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</si>
  <si>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</si>
  <si>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 их сопровождающим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</si>
  <si>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</si>
  <si>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обеспечение выполнения функций органов исполнительной власти города Байконур - Управление социальной защиты населения</t>
  </si>
  <si>
    <t>1105</t>
  </si>
  <si>
    <t>1202</t>
  </si>
  <si>
    <t>500</t>
  </si>
  <si>
    <t>Высшее должностное лицо города Байконур - Глава администрации города Байконур</t>
  </si>
  <si>
    <t>Расходы на обеспечение выполнения функций органов исполнительной власти города Байконур - Аппарат Главы администрации г.Байконур</t>
  </si>
  <si>
    <t>Расходы на обеспечение выполнения функций органов исполнительной власти города Байконур - Управление финансов администрации города Байконур</t>
  </si>
  <si>
    <t>Расходы на обеспечение выполнения функций органов исполнительной власти города Байконур - Управление финансового контроля города Байконур</t>
  </si>
  <si>
    <t>Обеспечение деятельности архивных учреждений - ГКУ "Архив города Байконур"</t>
  </si>
  <si>
    <t>РО-А-0005</t>
  </si>
  <si>
    <t>Мероприятия  в области молодёжной политики</t>
  </si>
  <si>
    <t>Расходы на обеспечение выполнения функций органов исполнительной власти города Байконур - Управление образованием города Байконур</t>
  </si>
  <si>
    <t>Лекарственное обеспечение граждан, имеющих право при амбулаторном лечении на получение лекарственных средств</t>
  </si>
  <si>
    <t>РО-А-0008</t>
  </si>
  <si>
    <t>РО-А-0009</t>
  </si>
  <si>
    <t>Выплата социального пособия на погребение и возмещение расходов по гарантированному перечню услуг</t>
  </si>
  <si>
    <t>Предоставление гражданам субсидий на оплату жилого помещения и коммунальных услуг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</si>
  <si>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</si>
  <si>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Компенсация по оплате жилого помещения и коммунальных услуг</t>
  </si>
  <si>
    <t>Коды бюджетной классификации</t>
  </si>
  <si>
    <t>Срок действия расходного обязательства</t>
  </si>
  <si>
    <t>Целевая статья</t>
  </si>
  <si>
    <t>Вид расходов</t>
  </si>
  <si>
    <t>КОСГУ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</si>
  <si>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</si>
  <si>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</si>
  <si>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Обеспечение мер социальной поддержки  реабилитированных лиц, и лиц, признанных пострадавшим от политических репрессий</t>
  </si>
  <si>
    <t>Обеспечение мер социальной поддержки  тружеников тыла</t>
  </si>
  <si>
    <t>Наименование расходного обязательства</t>
  </si>
  <si>
    <t>0702</t>
  </si>
  <si>
    <t>0707</t>
  </si>
  <si>
    <t xml:space="preserve">Раздел, Подраздел </t>
  </si>
  <si>
    <t>Код расходных обязательств</t>
  </si>
  <si>
    <t>Объемы средств на исполнение расходного обязательства (тыс. руб.)</t>
  </si>
  <si>
    <t>Выплаты семьям опекунов на содержание подопечных детей</t>
  </si>
  <si>
    <t>РО-Б-0073</t>
  </si>
  <si>
    <t>РО-Б-0001</t>
  </si>
  <si>
    <t>РО-Б-0002</t>
  </si>
  <si>
    <t>РО-Б-0004</t>
  </si>
  <si>
    <t>РО-Б-0007</t>
  </si>
  <si>
    <t>РО-Б-0008</t>
  </si>
  <si>
    <t>РО-Б-0010</t>
  </si>
  <si>
    <t>РО-Б-0012</t>
  </si>
  <si>
    <t>0409</t>
  </si>
  <si>
    <t>0412</t>
  </si>
  <si>
    <t>0501</t>
  </si>
  <si>
    <t>0502</t>
  </si>
  <si>
    <t>0503</t>
  </si>
  <si>
    <t>0701</t>
  </si>
  <si>
    <t>0801</t>
  </si>
  <si>
    <t>РО-Б-0051</t>
  </si>
  <si>
    <t>0401</t>
  </si>
  <si>
    <t>Код получателя бюджетных средств</t>
  </si>
  <si>
    <t>Протезирование зубов пенсионерам, получающих доход ниже прожиточного минимума и инвалидам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</si>
  <si>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</si>
  <si>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</si>
  <si>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Оплата проезда инвалидов к месту обучения в специальных профессиональных заведениях</t>
  </si>
  <si>
    <t>600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</si>
  <si>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незавершённых производством - ГКУ "Инженерные работы"</t>
  </si>
  <si>
    <t>200/300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</si>
  <si>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</si>
  <si>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Расходы на обеспечение выполнения функций органов исполнительной власти города Байконур - Управление по размещению заказа</t>
  </si>
  <si>
    <t>Код методики определения объёма ассигнований на исполнение расходного обязательства</t>
  </si>
  <si>
    <t>неограничен</t>
  </si>
  <si>
    <t>Код 3</t>
  </si>
  <si>
    <t>Код 1</t>
  </si>
  <si>
    <t>Код 1, Код 3</t>
  </si>
  <si>
    <t>Выплата гражданам РФ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 переезжающих на территорию РФ</t>
  </si>
  <si>
    <t>Код 4</t>
  </si>
  <si>
    <t>Ежемесячная денежная выплата малоимущим пенсионерам</t>
  </si>
  <si>
    <t>Код 1, Код 4</t>
  </si>
  <si>
    <t>РО-Б-0025</t>
  </si>
  <si>
    <t>0704</t>
  </si>
  <si>
    <t>0709</t>
  </si>
  <si>
    <t>1002</t>
  </si>
  <si>
    <t>РО-Б-0075</t>
  </si>
  <si>
    <t>1006</t>
  </si>
  <si>
    <t>0104</t>
  </si>
  <si>
    <t>0405</t>
  </si>
  <si>
    <t>0804</t>
  </si>
  <si>
    <t>0113</t>
  </si>
  <si>
    <t>0102</t>
  </si>
  <si>
    <t>0111</t>
  </si>
  <si>
    <t>Резервный фонд администрации города Байконур</t>
  </si>
  <si>
    <t>1101</t>
  </si>
  <si>
    <t>0909</t>
  </si>
  <si>
    <t>200</t>
  </si>
  <si>
    <t>1003</t>
  </si>
  <si>
    <t>РО-Б-0009</t>
  </si>
  <si>
    <t>Обеспечение деятельности учреждений, осуществляющих полномочия Российской Федерации в области содействия занятости</t>
  </si>
  <si>
    <t>100</t>
  </si>
  <si>
    <t>800</t>
  </si>
  <si>
    <t>300</t>
  </si>
  <si>
    <t>плановый</t>
  </si>
  <si>
    <t>фактический</t>
  </si>
  <si>
    <t>Оплата жилищно-коммунальных услуг отдельным категориям граждан.</t>
  </si>
  <si>
    <t>Дополнительные меры поддержки на оплату жилищно-коммунальных услуг отдельным категориям граждан</t>
  </si>
  <si>
    <t xml:space="preserve">Реквизиты нормативного правового акта, договора, соглашения </t>
  </si>
  <si>
    <t>Статья, пункт, подпункт, абзац нормативного правового акта, договора, соглашения</t>
  </si>
  <si>
    <t>п/п 6.10</t>
  </si>
  <si>
    <t>п. 1</t>
  </si>
  <si>
    <t>п. 7 РГА</t>
  </si>
  <si>
    <t>п. 2 ПГА</t>
  </si>
  <si>
    <t>п. 4</t>
  </si>
  <si>
    <t>п. 3 ПГА</t>
  </si>
  <si>
    <t>п. 3 РГА</t>
  </si>
  <si>
    <t>Жилищный кодекс Российской Федерации</t>
  </si>
  <si>
    <t>ст. 153</t>
  </si>
  <si>
    <t>Федеральный закон от 06.10.2003 г. № 131-ФЗ "Об общих принципах организации местного самоуправления в Российской Федерации" (с изменениями и дополнениями)</t>
  </si>
  <si>
    <t>п. 4 ст. 16</t>
  </si>
  <si>
    <t>Федеральный закон от 06.10.2003 г. № 131-ФЗ «Об общих принципах организации местного самоуправления в Российской Федерации» (с изменениями и дополнениями)</t>
  </si>
  <si>
    <t>абз. 3 п/п 1.1 п.1</t>
  </si>
  <si>
    <t>п. 24 ст. 16</t>
  </si>
  <si>
    <t>Федеральный закон от 16.09.2003 г. № 131-ФЗ "Об общих принципах организации местного самоуправления в Российской Федерации" (с изменениями и дополнениями)</t>
  </si>
  <si>
    <t>п. 13 ст. 16</t>
  </si>
  <si>
    <t>п. 2 РГА</t>
  </si>
  <si>
    <t>п. 14 ст. 16</t>
  </si>
  <si>
    <t>ст. 7.1</t>
  </si>
  <si>
    <t>п/п 1.1, 1.2, 1.3</t>
  </si>
  <si>
    <t>п/п 1.1, 1.3</t>
  </si>
  <si>
    <t>п/п 1.1, 1.3-1.6</t>
  </si>
  <si>
    <t>п.п. 1.4, 1.6, 1.7</t>
  </si>
  <si>
    <t>п.п. 1.3, 1.4, 1.5, 1.6</t>
  </si>
  <si>
    <t xml:space="preserve">п/п 1.3 </t>
  </si>
  <si>
    <t>ст.7, 8</t>
  </si>
  <si>
    <t xml:space="preserve">Постановление Главы администрации от 15.11.2013 г. № 178 "Об утверждении Порядка оказания в городе Байконур государственной социальной помощи малоимущим семьям и малоимущим одиноко проживающим гражданам в новой редакции"
</t>
  </si>
  <si>
    <t>Приложение № 2</t>
  </si>
  <si>
    <t>п/п 1.1</t>
  </si>
  <si>
    <t>п. 1, п. 4</t>
  </si>
  <si>
    <t>п/п 1.8</t>
  </si>
  <si>
    <t>п/п 1.7</t>
  </si>
  <si>
    <t>Приложение № 1</t>
  </si>
  <si>
    <t>п. 1 ПГА</t>
  </si>
  <si>
    <t>п. 4 ПГА</t>
  </si>
  <si>
    <t>ст. 8</t>
  </si>
  <si>
    <t>п. 1, 2</t>
  </si>
  <si>
    <t>код 1</t>
  </si>
  <si>
    <t>Постановление Главы администрации от 09.10.2009 г. № 114 "Об Аппарате Главы администрации города Байконур" (с изменениями)</t>
  </si>
  <si>
    <t>9900004000</t>
  </si>
  <si>
    <t>Постановление Главы администрации от 17.03.2014 г. № 49 "Об утверждении Положения об Управлении финансового контроля города Байконур в новой редакции"</t>
  </si>
  <si>
    <t>0106</t>
  </si>
  <si>
    <t>Распоряжение Главы администрации от 03.04.2008 г. № 01-123р "о создании Управления по имущественным и земельным отношениям Российской Федерации администрации г. Байконур" (с изменениями)</t>
  </si>
  <si>
    <t>п.1, 3 ПГА</t>
  </si>
  <si>
    <t>9900007000</t>
  </si>
  <si>
    <t>Распоряжение Главы администрации от 09,12.2011 г. № 01-352р "Об изменении типа существующего Государственного бюджетного учреждения "Архив города Байконур" в целях создания Государственного казенного учреждения "Архив города Байконур"</t>
  </si>
  <si>
    <t>9900008010</t>
  </si>
  <si>
    <t>Мероприятия в области туризма</t>
  </si>
  <si>
    <t>9900011000</t>
  </si>
  <si>
    <t>Постановление Главы администрации от 23.12.2011 г. № 221 "Об утверждении Порядка определения объема и условий предоставления государственным бюджетным и автономным учреждениям, находящимся в ведении администрации города Байконур, субсидий на иные цели" (с изменениями)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</si>
  <si>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</si>
  <si>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01.01.2011.</t>
  </si>
  <si>
    <t>Распоряжение Главы администрации от 20.06.2014 г. № 01-218р "Об утверждении Положения об Управлении образованием города Байконур в новой редакции"</t>
  </si>
  <si>
    <t>Распоряжение Главы администрации города Байконур от 06.12.2011 г. № 01-346р "Об изменении типа существующего Государственного учреждения "Центр занятости населения г.Байконур" в целях создания Государственного казенного учреждения "Центр занятости населения города Байконур"</t>
  </si>
  <si>
    <t>Распоряжение Главы администрации города Байконур от 26.12.2011 г. № 01-412р "О переименовании Государственного учреждения "Городская ветеринарная станция по борьбе с болезнями животных г. Байконур"</t>
  </si>
  <si>
    <t>9900008020</t>
  </si>
  <si>
    <t>Постановление Главы администрации города Байконур от 25.09.2012 г. № 173 "Об утверждении Порядка возмещения расходов на содержание незаселённых жилых помещений жилищного фонда города Байконур и оплату коммунальных услуг" (с изменениями)</t>
  </si>
  <si>
    <t>Расходы на обеспечение мероприятий в области культуры призмами, грамотами, подарками и сувенирной продукцией</t>
  </si>
  <si>
    <t>РО-Б-0044</t>
  </si>
  <si>
    <t>Обеспечение расходов на выплату пенсии за выслугу лет лицам, замещавшим должности муниципальной службы в городе Байконур</t>
  </si>
  <si>
    <t>РО-Б-0047</t>
  </si>
  <si>
    <t>РО-Б-0048</t>
  </si>
  <si>
    <t>Закон РФ от 19.04.1991 года № 1032-1 "О занятости населения в Российской Федерации" (с изменениями)</t>
  </si>
  <si>
    <t>Постановление Главы администрации г.Байконур от 03.08.2012 г. № 142 «О мерах социальной поддержки по оплате жилого помещения и коммунальных услуг, услуг связи, предоставляемых отдельным категориям граждан, проживающих в городе Байконур» (с изменениями)</t>
  </si>
  <si>
    <t>РО-Б-0053</t>
  </si>
  <si>
    <t>РО-Б-0054</t>
  </si>
  <si>
    <t>РО-Б-0055</t>
  </si>
  <si>
    <t>РО-Б-0056</t>
  </si>
  <si>
    <t>РО-Б-0057</t>
  </si>
  <si>
    <t>РО-Б-0058</t>
  </si>
  <si>
    <t>РО-Б-0059</t>
  </si>
  <si>
    <t>РО-Б-0060</t>
  </si>
  <si>
    <t>Постановление Главы администрации города Байконур от 03.05.2011 г. № 80 "О внесении изменений в Положение о порядке присвоения звания "Почетный гражданин города Байконур", утвержденное постановлением Главы городской администрации от 27 мая 1998 г. № 198, и отдельные нормативные правовые акты администрации города Байконур"</t>
  </si>
  <si>
    <t>Компенсация страховых премий по договору обязательного страхования автогражданской ответственности</t>
  </si>
  <si>
    <t>Обязательное медицинское страхование неработающего населения</t>
  </si>
  <si>
    <t>Распоряжение Главы администрации города Байконур от 07.06.2012 г. № 01-146р "Об утверждении Положения об Управлении социальной защиты населения в новой редакции" (с изменениями)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</si>
  <si>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</si>
  <si>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- Периодическая печать и издательства</t>
  </si>
  <si>
    <t>п. 3, 4 РГА</t>
  </si>
  <si>
    <t>п. 1 Положения</t>
  </si>
  <si>
    <t>п. 1 РГА</t>
  </si>
  <si>
    <t>п. 16, 17, 20 ст. 16</t>
  </si>
  <si>
    <t>п.п. 1.1-1.7, 4 ПГА</t>
  </si>
  <si>
    <t>п.1 ПГА</t>
  </si>
  <si>
    <t>п. 1 Распоряжения</t>
  </si>
  <si>
    <t>Реализация отдельных полномочий в области лекарственного обеспечения</t>
  </si>
  <si>
    <t>РО-Б-0082</t>
  </si>
  <si>
    <t>ИТОГО</t>
  </si>
  <si>
    <t>Капитальный ремонт автомобильных дорог</t>
  </si>
  <si>
    <t>п. п. 3.1. ПГА</t>
  </si>
  <si>
    <t>РО-А-0001</t>
  </si>
  <si>
    <t>Осуществление переданных полномочий Российской Федерации на государственную регистрацию актов гражданского состояния</t>
  </si>
  <si>
    <t>990059300</t>
  </si>
  <si>
    <t>0703</t>
  </si>
  <si>
    <t>Осуществление переданного полномочия Российской Федерации по осуществлению ежеголной денежной выплаты лицам, награжденным нагрудным знаком "Почетный донор России"</t>
  </si>
  <si>
    <t>Выплата единовременного пособия при всех формах устройства детей, лищенных родительского попечения, в семью</t>
  </si>
  <si>
    <t>РО-А-0002</t>
  </si>
  <si>
    <t>РО-А-0004</t>
  </si>
  <si>
    <t>РО-А-0006</t>
  </si>
  <si>
    <t>РО-Б-0081</t>
  </si>
  <si>
    <t>РО-Б-0083</t>
  </si>
  <si>
    <t>РО-Б-0084</t>
  </si>
  <si>
    <t>РО-Б-0085</t>
  </si>
  <si>
    <t>01.08.1999г.                                                                               01.01.2017 г.</t>
  </si>
  <si>
    <t>9900001000</t>
  </si>
  <si>
    <t>Постановление Правительства РФ от 15.04.2014 г. №296 "Об утверждении государственной программы Российской Федерации "Социальная поддержка граждан"</t>
  </si>
  <si>
    <t>Подпрограмма 1</t>
  </si>
  <si>
    <t>Постановление Главы администрации г. Байконур от 06.04.2006 г. № 67 «О финансировании мероприятий, связанных с отселением граждан РФ с комплекса «Байконур» на территорию РФ» (с изменениями)</t>
  </si>
  <si>
    <t>Распоряжение Главы администрации от 31.03.2011 г. № 01-92р "Об утверждении Положения об Управлении финансов администрации города Байконур" (с изменениями)</t>
  </si>
  <si>
    <t>п.1. ПГА</t>
  </si>
  <si>
    <t xml:space="preserve">Постановление Главы администрации от 30.07.1999 г. "Об утверждении Положения об Управлении жилищного строительства администрации г. Байконур, Российская Федерация, комплекс Байконур"                                                                               </t>
  </si>
  <si>
    <t>Постановление Главы администрации города Байконур от 30 декабря 2016 г. №413 "О переименовании Управления жилищного строительства администрации г. Байконур, Российская Федерация, комплекс Байконур"</t>
  </si>
  <si>
    <t>Постановление Главы администрации г. Байконур от 14.09.2012 г. № 168 "Об утверждении Порядка и условиях присвоения звания "Ветеран труда города Байконур" и установлении мер социальной поддержки "Ветеранам труда города Байконур" (с изменениями)</t>
  </si>
  <si>
    <t>Постановление Главы администрации г. Байконур от 24.12.2013 г. № 219 "О мерах социальной поддержки отдельных категорий граждан, проживающих в городе Байконур" (с изменениями)</t>
  </si>
  <si>
    <t>990004000</t>
  </si>
  <si>
    <t>Расходы на обеспечение выполнения функций органов исполнительной власти города Байконур - Управление по имущественным и земельным отношениям Российской Федерации администрации г.Байконур</t>
  </si>
  <si>
    <t>Финансовое обеспечение выполнения государственного задания на оказание государственных услуг (выполнение работ) - Сельское хозяйство и рыболовство</t>
  </si>
  <si>
    <t>812</t>
  </si>
  <si>
    <t xml:space="preserve"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</si>
  <si>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РО-Б-0088</t>
  </si>
  <si>
    <t>Возмещение затрат на содержание городского кладбища и организацию погребения безродных и неопознанных умерших</t>
  </si>
  <si>
    <t>Федеральный закон РФ от 29.11.2010 года № 326-ФЗ "Об обязательном медицинском страховании в Российской Федерации" (с изменениями)</t>
  </si>
  <si>
    <t>Федеральный закон РФ от 17.07.1999 года № 178 "О государственной социальной помощи" (с изменениями)</t>
  </si>
  <si>
    <t>Постановление Главы администрации от 03.04.2014 г. № 68 "О порядке оказания адресной материальной (денежной) помощи гражданам, проживающим в городе Байконур, находящимся в трудной жизненной ситуации" (с изменениями)</t>
  </si>
  <si>
    <t>Постановление Главы администрации от 25.06.2010 г. №80 "Об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средств" (с изменениями)</t>
  </si>
  <si>
    <t>Постановление Главы администрации города Байконур от 22.11.2016 г. № 338 "Об утверждении Порядка выплаты призов в денежной форме победителям конкурсов в области культуры, проводимых за счет бюджета города Байконур"</t>
  </si>
  <si>
    <t>Распоряжение Главы администрации от 26.07.2017 г. № 01-233р "Об утверждении Положения о порядке расходования денежных средств, выделенных Аппарату Главы администрации города Байконур по подразделу "Другие общегосударственные вопросы" раздела "Общегосударственные вопросы" классификации расходов бюджета города Байконур в новой редакции"</t>
  </si>
  <si>
    <t>РГА, п.2 ПГА</t>
  </si>
  <si>
    <t>РО-Б-0040</t>
  </si>
  <si>
    <t>РО-Б-0043</t>
  </si>
  <si>
    <t>РО-Б-0086</t>
  </si>
  <si>
    <t>РО-Б-0087</t>
  </si>
  <si>
    <t>Постановление Главы администрации города Байконур от 18.12.2017 г. № 437 "Об утверждении Положения о порядке расходования средств резервного фонда администрации города Байконур и Правил выделения денежных средств из резервного фонда админстрации города Байконур на мероприятия по ликвидации чрезвычайных ситуаций и последствий стихийных бедствий на территории города Байконур"</t>
  </si>
  <si>
    <t>п. 1, 2, 4, 5, 10 ПГА</t>
  </si>
  <si>
    <t>п. 3, 9, 10 ПГА</t>
  </si>
  <si>
    <t>РО-А-0010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</si>
  <si>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</si>
  <si>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РО-А-0011</t>
  </si>
  <si>
    <t>4020005100</t>
  </si>
  <si>
    <t>3020111000</t>
  </si>
  <si>
    <t>3040111000</t>
  </si>
  <si>
    <t>3030111000</t>
  </si>
  <si>
    <t>3050311000</t>
  </si>
  <si>
    <t>3050312050</t>
  </si>
  <si>
    <t>4010011000</t>
  </si>
  <si>
    <t>4010005310</t>
  </si>
  <si>
    <t>6010105410</t>
  </si>
  <si>
    <t>6030111000</t>
  </si>
  <si>
    <t>6010151610</t>
  </si>
  <si>
    <t>7020061000</t>
  </si>
  <si>
    <t>7040011000</t>
  </si>
  <si>
    <t>7020051370</t>
  </si>
  <si>
    <t>7020052200</t>
  </si>
  <si>
    <t>7010052700</t>
  </si>
  <si>
    <t>7010055730</t>
  </si>
  <si>
    <t>6020170100</t>
  </si>
  <si>
    <t>7010005610</t>
  </si>
  <si>
    <t>5000211000</t>
  </si>
  <si>
    <t>Расходы на обеспечение выполнения функций по общегосударственным вопросам</t>
  </si>
  <si>
    <t>Укрепление материально-технической базы учреждений образования</t>
  </si>
  <si>
    <t>Расходы на обеспечение выполнения функций органов исполнительной власти города Байконур - Управление экономического развития администрации города Байконур</t>
  </si>
  <si>
    <t>Распоряжение Главы администрации от 01.02.2018 г. № 01-38р "О наделении правами юридического лица Управления экономического развития администрации города Байконур"</t>
  </si>
  <si>
    <t>п. 1, 2 РГА</t>
  </si>
  <si>
    <t>2000580001</t>
  </si>
  <si>
    <t>2000480002</t>
  </si>
  <si>
    <t>2000680002</t>
  </si>
  <si>
    <t>3050580002</t>
  </si>
  <si>
    <t>РО-Б-0049</t>
  </si>
  <si>
    <t>п. 3, 17 ст. 16</t>
  </si>
  <si>
    <t>4010013060</t>
  </si>
  <si>
    <t>1000108040</t>
  </si>
  <si>
    <t>1000308040</t>
  </si>
  <si>
    <t xml:space="preserve">Обеспечение деятельности централизованных бухгалтерий по обслуживанию учреждений образования - ГКУ "Централизованная бухгалтерия по обслуживанию учреждений образования города Байконур" </t>
  </si>
  <si>
    <t>Распоряжение Главы администрации от 22.03.2013 г. № 01-83р "О переименовании Государственного казенного учреждения "Централизованная бухгалтерия по обслуживанию государственных бюджетных дошкольных образовательных учреждений" (с изменениями)</t>
  </si>
  <si>
    <t>9900008030</t>
  </si>
  <si>
    <t>РО-Б-0050</t>
  </si>
  <si>
    <t>Расходы на обеспечение выполнения функций органов исполнительной власти города Байконур - Управление культуры, молодежной политики, туризма и спорта</t>
  </si>
  <si>
    <t>3050612010</t>
  </si>
  <si>
    <t xml:space="preserve">Расходы на обеспечение выполнения функций органов исполнительной власти города Байконур - Отдел по отселению граждан </t>
  </si>
  <si>
    <t>Расходы на обеспечение выполнения функций органов исполнительной власти города Байконур - Отдел здравоохранения города Байконур</t>
  </si>
  <si>
    <t>Обеспечение деятельности учреждений культуры - Государственное казенное учреждение "Централизованная библиотечная система"</t>
  </si>
  <si>
    <t>Распоряжение Главы администрации города Байконур от 04.06.2018 г. № 01-207р "Об изменении типа существующего Государственного бюджетного учреждения "Централизованная библиотечная система" в целях создания Государственного казенного учреждения "Централизованная библиотечная система"</t>
  </si>
  <si>
    <t>4010008050</t>
  </si>
  <si>
    <t>Обеспечение деятельности общеобразовательных организаций</t>
  </si>
  <si>
    <t>Приказ Управления образованием города Байконур от 15 июня 2018 г.</t>
  </si>
  <si>
    <t>п. 1 Приказа</t>
  </si>
  <si>
    <t>3020108070</t>
  </si>
  <si>
    <t>Обеспечение деятельности в области молодежной политики, оздоровления и отдыха детей</t>
  </si>
  <si>
    <t>Обеспечение деятельности дошкольных образовательных организаций</t>
  </si>
  <si>
    <t>3010108060</t>
  </si>
  <si>
    <t>Возмещение затрат по содержанию и ремонту объектов внешнего благоустройства города Байконур (дорожное хозяйство)</t>
  </si>
  <si>
    <t>РО-Б-0016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</si>
  <si>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</si>
  <si>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</si>
  <si>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</si>
  <si>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</si>
  <si>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</si>
  <si>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</si>
  <si>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</si>
  <si>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</si>
  <si>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7060091300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</si>
  <si>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</si>
  <si>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9900001100</t>
  </si>
  <si>
    <t>Комплексные мероприятия по благоустройству города Байконур</t>
  </si>
  <si>
    <t>Организация мероприятий по содействию занятости населения</t>
  </si>
  <si>
    <t>Обеспечение расходов на приобретение продуктов питания и материальных запасов</t>
  </si>
  <si>
    <t>3050812150</t>
  </si>
  <si>
    <t>3050308080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</si>
  <si>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</si>
  <si>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Ежеквартальная денежная выплата инвалидам, обучающимся в специальных образовательных организациях</t>
  </si>
  <si>
    <t xml:space="preserve">Оплата протезно-ортопедических изделий, технических средств </t>
  </si>
  <si>
    <t>РО-Б-0005</t>
  </si>
  <si>
    <t>РО-Б-0038</t>
  </si>
  <si>
    <t>Постановление Главы администрации от 29.12.2017 г. № 479 "Об организации и обеспечении отдыха и оздоровления детей, проживающих в городе Байконур" (с изменениями)</t>
  </si>
  <si>
    <t>Постановление Главы администрации города Байконур от 25.04.2018 г. № 136 "О переименовании Городского управления здравоохранения"</t>
  </si>
  <si>
    <t>п. 1, 5  ПГА</t>
  </si>
  <si>
    <t>9900054690</t>
  </si>
  <si>
    <t>РО-А-0013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</si>
  <si>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IV типов, а также после трансплантации органов и (или) тканей</t>
  </si>
  <si>
    <t>6010152160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</si>
  <si>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</si>
  <si>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6010154600</t>
  </si>
  <si>
    <t>Меры социальной поддержки Почетным гражданам города Байконур</t>
  </si>
  <si>
    <t>5000105510</t>
  </si>
  <si>
    <t>Распоряжение Главы администрации от 25.07.2013 г. № 01-231-р "О новогодних подарках" (с изменениями)</t>
  </si>
  <si>
    <t>Постановление Главы администрации г. Байконур от 31.12.2015 г. № 335 «О плате за присмотр и уход за детьми в государственных дошкольных образовательных организациях, подведомственных Управлению образованием города Байконур" (с изменениями)</t>
  </si>
  <si>
    <t>ПГА от 01.08.2019 г. № 363 "Об утверждении Положения о предоставлении компенсации стоимости проезда к месту лечения, консультации, санаторно-курортного лечения, госпитализации и обратно детям, не имеющим статуса ребенка-инвалида, и лицам, их сопровождающим и внесении изменений в постановление Главы администрации города Байконур от 06 февраля 2013 г. № 14"</t>
  </si>
  <si>
    <t>Постановление Главы администрации г.Байконур от 25.04.2019 г. № 173 «О порядке назначения и выплаты пособия на ребенка и признании утратившими силу некоторых нормативных правовыъ актов Главы администрации города Байконур"</t>
  </si>
  <si>
    <t>п. 9 РГА</t>
  </si>
  <si>
    <t xml:space="preserve">Постановление Главы администрации города Байконур от 28 июля 2014 г. № 161 "Об утверждении Порядка предоставления субсидий из бюджета города Байконур государственным бюджетным учреждениям, находящимся в ведении администрации  города Байконур, на финансовое обеспечение выполнения ими государственного задания" </t>
  </si>
  <si>
    <t>п.3 РГА</t>
  </si>
  <si>
    <t>РО-Б-0101</t>
  </si>
  <si>
    <t>1000252900</t>
  </si>
  <si>
    <t>РО-Б-0003</t>
  </si>
  <si>
    <t>РО-Б-0017</t>
  </si>
  <si>
    <t>РО-Б-0027</t>
  </si>
  <si>
    <t>РО-Б-0028</t>
  </si>
  <si>
    <t>РО-Б-0029</t>
  </si>
  <si>
    <t>РО-Б-0035</t>
  </si>
  <si>
    <t>РО-Б-0042</t>
  </si>
  <si>
    <t>РО-Б-0045</t>
  </si>
  <si>
    <t>РО-Б-0046</t>
  </si>
  <si>
    <t>РО-А-0003</t>
  </si>
  <si>
    <t>РО-А-0012</t>
  </si>
  <si>
    <t>отчетный 2020 год</t>
  </si>
  <si>
    <t xml:space="preserve">текущий 2021 год </t>
  </si>
  <si>
    <t xml:space="preserve">очередной 2022 год </t>
  </si>
  <si>
    <t>Проведение Всероссийской переписи населения 2021 года</t>
  </si>
  <si>
    <t>Организация освещения в средствах массовой информации вопросов развития малого и среднего предпринимательства</t>
  </si>
  <si>
    <t>Организация обучения основам предпринимательской деятельности</t>
  </si>
  <si>
    <t>Финансовое обеспечение выполнения государственного задания на оказание государственных услуг (выполнение работ)</t>
  </si>
  <si>
    <t>Распоряжение Главы администрации города Байконур от 13.05.2020 г. №01-188р "О создании Государственного бюджетного учреждения "Хлебзавод №1"</t>
  </si>
  <si>
    <t>п.8 РГА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</si>
  <si>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</si>
  <si>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Организация военно-патриотического клуба "Космодром"</t>
  </si>
  <si>
    <t>8040012230</t>
  </si>
  <si>
    <t>Проведение городской военно-спортивной игры "Зарничка"</t>
  </si>
  <si>
    <t>8040012240</t>
  </si>
  <si>
    <t>Демонстрация патриотических фильмов обучающимся города Байконур</t>
  </si>
  <si>
    <t>8040012270</t>
  </si>
  <si>
    <t>Возмещение затрат по содержанию городского парка культуры и отдыха</t>
  </si>
  <si>
    <t>Укрепление материально-технической базы учреждений в сфере средств массовой информации</t>
  </si>
  <si>
    <t>1201</t>
  </si>
  <si>
    <t>9900012190</t>
  </si>
  <si>
    <t>Изготовление баннеров и тиражирование печатной продукции с целью информационного обеспечения противодействия экстремизму и терроризму</t>
  </si>
  <si>
    <t>8010015010</t>
  </si>
  <si>
    <t>Изготовление и размещение социальной рекламы по профилактике безнадзорности и правонарушений среди несовершеннолетних</t>
  </si>
  <si>
    <t>8010015020</t>
  </si>
  <si>
    <t>Организация финансовой поддержки субъектов малого и среднего предпринимательства</t>
  </si>
  <si>
    <t>Капитальный ремонт, реконструкция и модернизация объектов ифраструктуры города Байконур</t>
  </si>
  <si>
    <t>9900080002</t>
  </si>
  <si>
    <t>99Б0091100</t>
  </si>
  <si>
    <t>Выборочный капитальный ремонт зданий и сооружений, закрепленных за государственными образовательными организациями</t>
  </si>
  <si>
    <t>4010080002</t>
  </si>
  <si>
    <t>Осуществление социальных выплат гражданам, признанным в установленном порядке безработными</t>
  </si>
  <si>
    <t>Федеральный закон от 19.05.1995 г. № 81-ФЗ «О государственных пособиях гражданам, имеющим детей» (с изменениями) _____________________________________________________                                        Проект Федерального закона "О федеральном бюджете на 2021 год и на плановый период 2022 и 2023 годы"</t>
  </si>
  <si>
    <t>ст. 12.1                                                  _______________ табл. 5 приложения 34</t>
  </si>
  <si>
    <t>Изготовление баннеров и тиражирование печатной продукции в сфере профилактики табакокурения, алкоголизма, наркомании в подростково-молодежной среде</t>
  </si>
  <si>
    <t>8030015030</t>
  </si>
  <si>
    <t>0902</t>
  </si>
  <si>
    <t>табл. 52, приложение 33</t>
  </si>
  <si>
    <t>табл. 106, приложение 33</t>
  </si>
  <si>
    <t>табл.69 приложения 33</t>
  </si>
  <si>
    <t>табл. 1, приложение 33</t>
  </si>
  <si>
    <t>табл. 8 приложения 33</t>
  </si>
  <si>
    <t>табл. 139 приложения 33</t>
  </si>
  <si>
    <t>табл. 4 Приложения 33</t>
  </si>
  <si>
    <t>табл. 138 Приложения 33</t>
  </si>
  <si>
    <t>табл. 9 приложения 33</t>
  </si>
  <si>
    <t>табл. 6 приложения 33</t>
  </si>
  <si>
    <t>1004</t>
  </si>
  <si>
    <t>табл. 141 приложения 33</t>
  </si>
  <si>
    <t>Пособие на ребенка</t>
  </si>
  <si>
    <t>Осуществление ежемесячной денежной выплаты на ребенка в возрасте от 3 до 7 лет включительно</t>
  </si>
  <si>
    <t>табл. 92, приложение 33</t>
  </si>
  <si>
    <t>РО-Б-0020</t>
  </si>
  <si>
    <t>РО-Б-0089</t>
  </si>
  <si>
    <t>РО-Б-0090</t>
  </si>
  <si>
    <t>РО-Б-0091</t>
  </si>
  <si>
    <t>РО-Б-0092</t>
  </si>
  <si>
    <t>РО-Б-0093</t>
  </si>
  <si>
    <t>РО-Б-0094</t>
  </si>
  <si>
    <t>РО-Б-0095</t>
  </si>
  <si>
    <t>РО-Б-0096</t>
  </si>
  <si>
    <t>РО-Б-0098</t>
  </si>
  <si>
    <t>Распоряжение Главы администрации от 13.01.2020 г. № 01-01р "Об утверждении Положения об Управлении культуры, молодежной политики, туризма и спорта"</t>
  </si>
  <si>
    <t xml:space="preserve">Постановление Главы администрации города Байконур от 13.12.2019 г. № 632 "О порядке формирования государственного задания на оказание государственных услуг (выполнение работ) в отношении государственных учреждений, находящихся в ведении администрации города Байконур, и финансовом обеспечении выполнения государственного задания в новой редакции" </t>
  </si>
  <si>
    <t>Постановление Главы администрации от 25.12.2017 г. № 445 "Об установлении нормативов для формирования стипендиального фонда за счет средств бюджета города Байконур"</t>
  </si>
  <si>
    <t>Распоряжение Главы администрации от 28.06.2019 г. № 01-264р "О создании государственного казенного учреждения "Центр поддержки молодежных инициатив "Звездный кампус" (с изменениями)</t>
  </si>
  <si>
    <t>п.4 Порядка</t>
  </si>
  <si>
    <t>Постановление Главы администрации г. Байконур от 07.06.2019 г. № 248 "Об организации обеспечения лекарственными препаратами, специализированными продуктами лечебного питания и изделиями медицинского назначения при амбулаторном лечении отдельных категорий граждан Российской Федерации и граждан Республики Казахстан, работающих в российских организациях комплекса "Байконур" на основании трудового договора, из числа жителей города Байконур, по рецептам врачей бесплатно или с 50-процентной скидкой со свободных цен"</t>
  </si>
  <si>
    <t>Постановление Главы администрации г. Байконур от 11.03.2020 г. № 108 "Об утверждении Положения о пенсии за выслугу лет лицам, замещавшим должности муниципальной службы в городе Байконур"</t>
  </si>
  <si>
    <t>п. 8, 9 Положения</t>
  </si>
  <si>
    <t>Постановление Главы администрации г.Байконур от 24.04.2020 г. № 202 «Об организации погребения и похоронного дела на территории города Байконур»</t>
  </si>
  <si>
    <t>Постановление Главы администрации от 25.12.2018 г. № 706 "Об установлении региональных стандартов стоимости жилищно-коммунальных услуг, используемых для расчета субсидий и компенсаций на оплату жилого помещения и коммунальных услуг в городе Байконур"</t>
  </si>
  <si>
    <t xml:space="preserve">Постановление Главы администрации г. Байконур от 18.12.2019 г. № 641 «Об установлении размера денежных средств, выплачиваемых на содержание детей, находящихся под опекой (попечительством), на 2020 год" </t>
  </si>
  <si>
    <t>п.2 РГА</t>
  </si>
  <si>
    <t xml:space="preserve"> Распоряжение Главы администрации города Байконур от 13.11.2020 г.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</t>
  </si>
  <si>
    <t>Распоряжение Главы администрации города Байконур от 07.02.2008г.           № 01-31р "О создании Управления договорной работы и городского заказа"; Распоряжение Главы администрации города Байконурот 29.08.2011 г. № 01-247р "Об оптимизации деятельности Управления договорной работы и городского заказа"</t>
  </si>
  <si>
    <t>Постановление Главы администрации города Байконур от 01.02.2013 г.         № 11 "Об утверждении городской целевой программы "Безопасный город" (с изменениями)</t>
  </si>
  <si>
    <t>п.3 ПГА</t>
  </si>
  <si>
    <t>Установка системы видеонаблюдения на улицах города в общественных местах и в местах массового пребывания людей</t>
  </si>
  <si>
    <t>Капитальный ремонт жилого фонда города Байконур</t>
  </si>
  <si>
    <t>абз. 2 п/п 1.1 п.1</t>
  </si>
  <si>
    <t>Постановление Главы администрации города Байконур от 28.12.2020 г. №668 "Об утверждении Перечня видов работ по содержанию и ремонту объектов внешнего благоустройства города Байконур на 2021 год, финансируемых за счет средств бюджета города Байконур, и порядке обеспечения их финансирования"</t>
  </si>
  <si>
    <t xml:space="preserve"> Распоряжение Главы администрации города Байконур от 13.11.2020 г.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</t>
  </si>
  <si>
    <t>Выборочный капитальный ремонт учреждений культуры</t>
  </si>
  <si>
    <r>
      <t>Распоряжение Главы администрации города Байконур от 03.02.2020 г. № 01-35р  "Об утверждении Перечня государственных программ города Байконур на 2021 год и на плановый период до 2024 года";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Проект Постановление Главы администрации города Байконур  "Об утверждении государственной программы "Содействие занятости населения города Байконур на 2021-2024 годы"</t>
    </r>
  </si>
  <si>
    <t>Постановление Главы администрации города Байконур от 27.11.2020 г.      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</si>
  <si>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Постановление Главы администрации города Байконур от 27.11.2020 г.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</si>
  <si>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Федеральный закон от 06.10.2003 г. № 131-ФЗ "Об общих принципах организации местного самоуправления в Российской Федерации"                   (с изменениями и дополнениями)</t>
  </si>
  <si>
    <t>Распоряжение Правительства Российской Федерации от 18.08.1995 г.                № 1154-р</t>
  </si>
  <si>
    <t>приложение 1</t>
  </si>
  <si>
    <t>РО-А-0014</t>
  </si>
  <si>
    <t>Осуществление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</si>
  <si>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 xml:space="preserve"> Приложение 33</t>
  </si>
  <si>
    <t>3050953030</t>
  </si>
  <si>
    <t>РО-А-0015</t>
  </si>
  <si>
    <t>Осуществление ежемесячных выплат на детей в возрасте от трех до семи лет включительно</t>
  </si>
  <si>
    <t>7010053020</t>
  </si>
  <si>
    <t>3050912300</t>
  </si>
  <si>
    <t>РО-Б-0102</t>
  </si>
  <si>
    <t>РО-Б-0103</t>
  </si>
  <si>
    <t>7040012290</t>
  </si>
  <si>
    <t>РО-Б-0104</t>
  </si>
  <si>
    <t>3050908100</t>
  </si>
  <si>
    <t>4030008090</t>
  </si>
  <si>
    <t>РО-Б-0099</t>
  </si>
  <si>
    <t>Укрепление материально-технической базы учреждения</t>
  </si>
  <si>
    <t>29.01.2021г.</t>
  </si>
  <si>
    <t>31.12.2021г.</t>
  </si>
  <si>
    <t>9900012180</t>
  </si>
  <si>
    <t>РО-А-0016</t>
  </si>
  <si>
    <t>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</si>
  <si>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>п. 3</t>
  </si>
  <si>
    <t>6010158430</t>
  </si>
  <si>
    <t>РО-Б-0106</t>
  </si>
  <si>
    <t xml:space="preserve">Проведение соревнований по мини-футболу "Кубок Победы" среди детских подростковых клубов по месту жительства </t>
  </si>
  <si>
    <t>8040012310</t>
  </si>
  <si>
    <t>РО-Б-0107</t>
  </si>
  <si>
    <t>Обеспечение единовременных расходов для организации и проведения мероприятий в области культуры</t>
  </si>
  <si>
    <t>4010012140</t>
  </si>
  <si>
    <t>РО-Б-0108</t>
  </si>
  <si>
    <t>Укрепление материально-технической базы учреждений в сфере социального обслуживания населения</t>
  </si>
  <si>
    <t>7040012280</t>
  </si>
  <si>
    <t>РО-Б-0109</t>
  </si>
  <si>
    <t>Организация военно-спортивного лагеря для класса "Пожарный кадет"</t>
  </si>
  <si>
    <t>8040018010</t>
  </si>
  <si>
    <t>РО-Б-0110</t>
  </si>
  <si>
    <t>Проведение пожарных эстафет среди учащихся школ города и кадетских классов, интеллектуально-спортивных игр и конкурсов детского творчества по противопожарной тематике среди учащихся школ города Байконур</t>
  </si>
  <si>
    <t>8040018020</t>
  </si>
  <si>
    <t>Федеральный закон "О федеральном бюджете на 2021 год и на плановый период 2022 и 2023 годов" от 08.12.2020 г. № 385-ФЗ</t>
  </si>
  <si>
    <t>Постановление Главы администрации города Байконур "Об утверждении государственной программы "Профилактика правонарушений в городе Байконур на 2021 - 2024 гг." от 09.02.2021 г. №55</t>
  </si>
  <si>
    <t>Постановление Главы администрации города Байконур от 28.12.2020 № 662"Об утверждении государственной программы "Развитие и поддержка субъектов малого и среднего предпринимательства на территории города Байконур на 2021 - 2024 гг."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</si>
  <si>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</si>
  <si>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Распоряжение Главы администрации города Байконур от 03.11.2018 г. №01-383р "О видеонаблюдении за периметром города Байконур"(с изменениями)</t>
  </si>
  <si>
    <t>п.п.4.2.РГА</t>
  </si>
  <si>
    <t>03.11.2018г.</t>
  </si>
  <si>
    <t>9900014010</t>
  </si>
  <si>
    <t>Возмещение недополученных доходов за содержание и текущий ремонт общего имущества в многоквартирном доме в связи с установлением платы за содержание жилого помещения в многоквартирном доме жилищного фонда города Байконур в размере, не обеспечивающим возмещение издержек</t>
  </si>
  <si>
    <t>Постановление Главы администрации города Байконур от 27.11.2020 г.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 (с изменениями)</t>
  </si>
  <si>
    <t>абз. 4 п/п 1.1 п.1</t>
  </si>
  <si>
    <t>РО-Б-0111</t>
  </si>
  <si>
    <t>РО-Б-0112</t>
  </si>
  <si>
    <t>Постановление Главы администрации от 17.11.2020 г. № 574 "О выплате ежемесячного денежного вознаграждения за классное руководство педагогическим работникам государственных образовательных организаций, находящихся в ведении администрации города Байконур, реализцющих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</si>
  <si>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 xml:space="preserve">Постановлени Главы администрации от 10.03.2021г. №100                             "О выделении денежных средств из резервного фонда администрации города Байконур" </t>
  </si>
  <si>
    <t>9900007001</t>
  </si>
  <si>
    <t>РО-А-0017</t>
  </si>
  <si>
    <t>Межбюджетные трансферты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предоставляющих опасность для окружающих, в рамках территориальных программ обязательного медицинского страхования за счет средств резервного фонда Правительства Российской Федерации</t>
  </si>
  <si>
    <t xml:space="preserve">Распоряжение Правительства Российской Федерации от 23.03.2021      № 728-р </t>
  </si>
  <si>
    <t>п. 2, 3</t>
  </si>
  <si>
    <t>6040358410</t>
  </si>
  <si>
    <t>РО-Б-0113</t>
  </si>
  <si>
    <t>Подготовка, организация и проведение мероприятий, приуроченных к празднованию 60-летия первого полета человека в космос и направленныъ  на популяризацию и сохранение наследия достижений отечественной космонавтики</t>
  </si>
  <si>
    <t>Договор о предоставлении пожертвования от 29.03.2021 г. № 66/21 между Госкорпорацией "Роскосмос" и Администрацией города Байконур</t>
  </si>
  <si>
    <t>п. 1.1</t>
  </si>
  <si>
    <t>9900012320</t>
  </si>
  <si>
    <t>Обеспечение расходов для проведения отдельных видов работ по текущему ремонту в здании ГБУ "КЦСОН"</t>
  </si>
  <si>
    <t>РО-Б-0114</t>
  </si>
  <si>
    <t>Финансовое обеспечение затрат, связанных с предоставлением услуг доступа к сети Интернет</t>
  </si>
  <si>
    <t xml:space="preserve">Постановление Главы администрации г. Байконур от 26.04.2021 г. № 201 «О финансовом обеспечении затрат, связанных с предоставлением услуг доступа к сети Интернет" </t>
  </si>
  <si>
    <t>п. 1.1. ПГА</t>
  </si>
  <si>
    <t>РО-Б-0115</t>
  </si>
  <si>
    <t>400</t>
  </si>
  <si>
    <t>РО-Б-0116</t>
  </si>
  <si>
    <t>Постановление Главы администрации города Байконур от 09.02.2021 № 55 "Об утверждении государственной программы "Профилактика правонарушений в городе Байконур на 2021 - 2024 гг."</t>
  </si>
  <si>
    <t xml:space="preserve"> Распоряжение Главы администрации города Байконур от 13.11.2020 г. № 01-558р "Об утверждении Перечней объектов реконструкции и капитального ремонта инфраструктуры комплекса "Байконур" </t>
  </si>
  <si>
    <t>Постановление Главы администрации города Байконур от 25.12.2017г. №444 "Об утверждении государственной программы "Жилищно-коммунальное хозяйство и обеспечение качественными жилищно-коммунальными услугами жителей города Байконур на 2018-2022 г.г."      (с изменениями)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</si>
  <si>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(с изменениями)                        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</si>
  <si>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(с изменениями)                       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</si>
  <si>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   (с изменениями)                     </t>
  </si>
  <si>
    <t>РО-Б-0117</t>
  </si>
  <si>
    <t>Проведение выборочного текущего ремонта в учреждениях образования</t>
  </si>
  <si>
    <t>3050612180</t>
  </si>
  <si>
    <t>РО-Б-0118</t>
  </si>
  <si>
    <t>Обеспечение расходов в области пожарной безопасности</t>
  </si>
  <si>
    <t>3050812190</t>
  </si>
  <si>
    <t>РО-Б-0119</t>
  </si>
  <si>
    <t>4010012190</t>
  </si>
  <si>
    <t>долж</t>
  </si>
  <si>
    <t>до</t>
  </si>
  <si>
    <t>Обеспечение деятельности учреждений в области молодежной политики - ГКУ ЦПМИ "Будущее Байконура"</t>
  </si>
  <si>
    <t>РО-А-0018</t>
  </si>
  <si>
    <t>Межбюджетные трансферты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короновирусную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</si>
  <si>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6050156220</t>
  </si>
  <si>
    <t>Постановление Главы администрации города Байконур от 22.07.2021 №337 "О выделении денежных средств из резервного фонда администрации города Байконур" на приобретение стационарного арочного металлодетектора ГБУДО ДЮСШ</t>
  </si>
  <si>
    <t>Постановление Главы администрации города Байконур   от 22.07.2021 №337 "О выделении денежных средств из резервного фонда администрации города Байконур", на приобретение стационарных арочных металлодетекторов для общеобразовательных учреждений</t>
  </si>
  <si>
    <t>Распоряжение Правительства Российской Федерации от 30.06.2021 №1768-р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                   г. Байконура в целях финансового обеспечения расходных обязательств субъектов РФ и г. Байконура на проведение углубленной диспансеризации застрахованных по обязательному медицинскому страхованию лиц, перенесших новую короновирусную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Федерации"</t>
  </si>
  <si>
    <t>Осуществление ежемесячного денежного вознаграждения за классное руководство педагогическим работникам государственных организаций среднего профессионального образования</t>
  </si>
  <si>
    <t>Распопряжение Правительства Российской Федерации от 24.07.2021 №2061-р "О выделении из резервного фонда Правительства Российской Федерации в 2021 году бюджетных ассигнований на обеспечение выплат ежемесячного денежного вознаграждения (кураторство) педагогическим работникам государственных образовательных организаций субъектов РФ и г. Байконура, реализующих образовательные программы среднего профессионального образования, в том числе программы профессионального обучения лиц с ограниченными возможностями здоровья"</t>
  </si>
  <si>
    <t>п. 1 РП</t>
  </si>
  <si>
    <t>РО-А-0019</t>
  </si>
  <si>
    <t>РО-А-0020</t>
  </si>
  <si>
    <t>Межбюджетные трансферты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короновирусной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</si>
  <si>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п. 1 РПРФ</t>
  </si>
  <si>
    <t>Федеральный закон от 08.12.2020 №385-ФЗ "О федеральном бюджете на 2021 год и на плановый период 2022 и 2023 годов"</t>
  </si>
  <si>
    <t>Финансовое обеспечение затрат, связанных с осуществлением деятельности по производству и распространению телевизионных программ</t>
  </si>
  <si>
    <t>Распоряжение Главы администрации города Байконур 
от 06 сентября 2021 г. № 01-534р «Об организации вещания телеканала «БайконурИнфо»</t>
  </si>
  <si>
    <t>9900014060</t>
  </si>
  <si>
    <t>РО-Б-0120</t>
  </si>
  <si>
    <t>п.п.3.2.РГА</t>
  </si>
  <si>
    <t>Распоряжение Правительства Российской Федерации от 23.01.2021      № 127-р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                   г. Байконура в целях финансового обеспечения мероприятий по приобретению лекарственных препаратов для лечения пациентов                с новой коронавирусной инфекцией (COVID-19), получающих медицинскую помощь в амбулаторных условиях"; Распоряжение Правительства РФ от 13.03.2021 г. № 600-р, от 09.07.2021г. №1869-р, от 01.10.2021 г. № 2761-р</t>
  </si>
  <si>
    <t>Распоряжение Правительства Российской Федерации от 20.07.2021 №1997-р "О выделении из резервного фонда Правительства Российской Федерации в 2021 году бюджетные ассигнования в целях финансового обеспечения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помощи, в том числе лицам с заболеванием и (или) подозрением на заболевание новой короновирусной инфекцией (COVID-19), в рамках реализации территориальных программ обязательного медицинского страхования"; распоряжение Правительства Российской Федерации от 26.10.2021 г. № 3025-р</t>
  </si>
  <si>
    <t>Реестр расходных обязательств города Байконур на 2022 год</t>
  </si>
  <si>
    <t>Заместитель начальника Управления - начальник бюджетного отдела ________________ А.Г. Бобрышев</t>
  </si>
  <si>
    <t>Начальник отдела отраслей национальной экономики, ЖКХ и капитальных вложений _________________ С.В. Никитина</t>
  </si>
  <si>
    <t>исп. Н.К. Куранцова, О.И. Ким</t>
  </si>
  <si>
    <t>Мероприятия по обеспечению антитеррористической защищенности учреждений образования</t>
  </si>
  <si>
    <t>8010512330</t>
  </si>
  <si>
    <t>Ежемесячное денежное вознаграждение педагогическим работникам общеобразовательных организаций за классное руководство</t>
  </si>
  <si>
    <t>РО-А-0049</t>
  </si>
  <si>
    <t>Создание в общеобразовательных организациях города Байконур условий для занятий физической культурой и спортом</t>
  </si>
  <si>
    <t>3050912350</t>
  </si>
  <si>
    <t>Создание в общеобразовательных организациях условий для занятий физической культурой и спортом</t>
  </si>
  <si>
    <t>3050950970</t>
  </si>
  <si>
    <t>Постановление Главы администрации города Байконур от 09.02.2021 № 55 "Об утверждении государственной программы "Профилактика правонарушений в городе Байконур на 2021 - 2024 гг." (с изменениями)</t>
  </si>
  <si>
    <t>Участие военно-патриотического клуба "Космодром" в Международном слете кадет России и Зарубежья "Кадетское содружество"</t>
  </si>
  <si>
    <t>8050912360</t>
  </si>
  <si>
    <t>Приобретение формы для военно-патриотического клуба "Космодром"</t>
  </si>
  <si>
    <t>8051012370</t>
  </si>
  <si>
    <t>8051212380</t>
  </si>
  <si>
    <t>8051312390</t>
  </si>
  <si>
    <t>Участие во Всероссийской военно-спортивной игре "Победа"</t>
  </si>
  <si>
    <t>8051612400</t>
  </si>
  <si>
    <t>Мероприятия по обеспечению антитеррористической защищенности объектов культуры, спорта и молодежной политики</t>
  </si>
  <si>
    <t>8010612340</t>
  </si>
  <si>
    <t>611</t>
  </si>
  <si>
    <t>Постановление Главы администрации города Байконур от 14.04.2021 г. № 173 "Об утверждении государственной программы "Обеспечение социальной политики и социальной поддержки граждан в городе Байконур на 2021 -2024 гг." (с изменениями)</t>
  </si>
  <si>
    <t>Выпуск и тиражирование печатной продукции с целью информационного обеспечения противодействия экстремизму и терроризму</t>
  </si>
  <si>
    <t>8010115040</t>
  </si>
  <si>
    <t>Выпуск и тиражирование печатной продукции в сфере профилактики табакокурения, алкоголизма, наркомании в подростково-молодежной среде</t>
  </si>
  <si>
    <t>8040215050</t>
  </si>
  <si>
    <t>8050318010</t>
  </si>
  <si>
    <t>8010415010</t>
  </si>
  <si>
    <t>Изготовление и установка баннеров в целях информирования населения о действиях при угрозе или возникновении чрезвычайных ситуаций</t>
  </si>
  <si>
    <t>8030215020</t>
  </si>
  <si>
    <t>Организация освещения в средствах массовой информации и мониторинга деятельности сбъектов малого и среднего предпринимательства</t>
  </si>
  <si>
    <t>hfpltk 04</t>
  </si>
  <si>
    <t>Капитальный ремонт, реконструкция и модернизация объектов инфраструктуры города Байконур</t>
  </si>
  <si>
    <t xml:space="preserve"> Распоряжение Главы администрации города Байконур от 01.11.2021 г.    № 01-613р "Об утверждении Перечней объектов реконструкции и капитального ремонта инфраструктуры комплекса "Байконур" на 2022 год, финансируемых за счет средств бюджета города Байконур"              </t>
  </si>
  <si>
    <t xml:space="preserve"> Распоряжение Главы администрации города Байконур от 01.11.2021 г.          № 01-613р  "Об утверждении Перечней объектов реконструкции и капитального ремонта инфраструктуры комплекса "Байконур" на 2022 год, финансируемых за счет средств бюджета города Байконур"   </t>
  </si>
  <si>
    <t>hgpltk 05</t>
  </si>
  <si>
    <t xml:space="preserve">                  Утвержден</t>
  </si>
  <si>
    <t xml:space="preserve">                   Начальником Управления финансов </t>
  </si>
  <si>
    <r>
      <t xml:space="preserve">               </t>
    </r>
    <r>
      <rPr>
        <b/>
        <sz val="16"/>
        <rFont val="Times New Roman"/>
        <family val="1"/>
      </rPr>
      <t xml:space="preserve"> И.А. Шмаковой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</si>
</sst>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#,##0.0"/>
    <numFmt numFmtId="180" formatCode="mmm/yyyy"/>
    <numFmt numFmtId="181" formatCode="#,##0.000"/>
    <numFmt numFmtId="182" formatCode="#,##0.00_ ;\-#,##0.00\ "/>
    <numFmt numFmtId="183" formatCode="[$-F800]dddd\,\ mmmm\ dd\,\ yyyy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34" fillId="20" borderId="1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4" fontId="8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9" fontId="52" fillId="0" borderId="1" xfId="33" applyNumberFormat="1" applyFont="1" applyFill="1" applyAlignment="1" applyProtection="1">
      <alignment horizontal="center" vertical="center" shrinkToFit="1"/>
      <protection/>
    </xf>
    <xf numFmtId="179" fontId="34" fillId="0" borderId="1" xfId="33" applyNumberFormat="1" applyFont="1" applyFill="1" applyAlignment="1" applyProtection="1">
      <alignment horizontal="center" vertical="center" shrinkToFit="1"/>
      <protection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79" fontId="34" fillId="0" borderId="1" xfId="33" applyNumberFormat="1" applyFill="1" applyAlignment="1" applyProtection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2" fontId="2" fillId="0" borderId="12" xfId="0" applyNumberFormat="1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0" fontId="0" fillId="0" borderId="14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179" fontId="2" fillId="0" borderId="11" xfId="0" applyNumberFormat="1" applyFont="1" applyFill="1" applyBorder="1" applyAlignment="1">
      <alignment horizontal="center" vertical="center"/>
    </xf>
    <xf numFmtId="17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7"/>
  <sheetViews>
    <sheetView tabSelected="1" zoomScale="70" zoomScaleNormal="70" zoomScaleSheetLayoutView="75" zoomScalePageLayoutView="55" workbookViewId="0" topLeftCell="A1">
      <pane ySplit="9" topLeftCell="A10" activePane="bottomLeft" state="frozen"/>
      <selection pane="topLeft" activeCell="A1" sqref="A1"/>
      <selection pane="bottomLeft" activeCell="O5" sqref="O5:Q5"/>
    </sheetView>
  </sheetViews>
  <sheetFormatPr defaultColWidth="8.875" defaultRowHeight="12.75"/>
  <cols>
    <col min="1" max="1" width="11.75390625" style="1" customWidth="1"/>
    <col min="2" max="2" width="15.00390625" style="1" customWidth="1"/>
    <col min="3" max="3" width="44.125" style="2" customWidth="1"/>
    <col min="4" max="4" width="17.875" style="2" customWidth="1"/>
    <col min="5" max="5" width="52.375" style="2" customWidth="1"/>
    <col min="6" max="6" width="21.25390625" style="2" customWidth="1"/>
    <col min="7" max="7" width="18.125" style="1" customWidth="1"/>
    <col min="8" max="8" width="15.75390625" style="1" customWidth="1"/>
    <col min="9" max="9" width="11.25390625" style="1" customWidth="1"/>
    <col min="10" max="10" width="17.375" style="1" customWidth="1"/>
    <col min="11" max="11" width="6.25390625" style="1" customWidth="1"/>
    <col min="12" max="12" width="11.25390625" style="1" customWidth="1"/>
    <col min="13" max="13" width="15.125" style="1" customWidth="1"/>
    <col min="14" max="16" width="14.375" style="1" customWidth="1"/>
    <col min="17" max="17" width="23.375" style="2" customWidth="1"/>
    <col min="18" max="18" width="0" style="1" hidden="1" customWidth="1"/>
    <col min="19" max="19" width="10.00390625" style="1" hidden="1" customWidth="1"/>
    <col min="20" max="21" width="11.125" style="1" hidden="1" customWidth="1"/>
    <col min="22" max="27" width="0" style="1" hidden="1" customWidth="1"/>
    <col min="28" max="16384" width="8.875" style="1" customWidth="1"/>
  </cols>
  <sheetData>
    <row r="1" spans="2:17" ht="26.25" customHeight="1">
      <c r="B1" s="114"/>
      <c r="C1" s="115"/>
      <c r="D1" s="114"/>
      <c r="E1" s="114"/>
      <c r="F1" s="114"/>
      <c r="O1" s="116" t="s">
        <v>636</v>
      </c>
      <c r="P1" s="116"/>
      <c r="Q1" s="116"/>
    </row>
    <row r="2" spans="2:17" ht="26.25" customHeight="1">
      <c r="B2" s="114"/>
      <c r="C2" s="115"/>
      <c r="D2" s="114"/>
      <c r="E2" s="114"/>
      <c r="F2" s="114"/>
      <c r="N2" s="116" t="s">
        <v>637</v>
      </c>
      <c r="O2" s="116"/>
      <c r="P2" s="116"/>
      <c r="Q2" s="116"/>
    </row>
    <row r="3" spans="1:17" ht="26.25" customHeight="1">
      <c r="A3" s="114"/>
      <c r="B3" s="114"/>
      <c r="C3" s="114"/>
      <c r="D3" s="114"/>
      <c r="E3" s="117" t="s">
        <v>597</v>
      </c>
      <c r="F3" s="117"/>
      <c r="G3" s="117"/>
      <c r="H3" s="117"/>
      <c r="I3" s="117"/>
      <c r="J3" s="117"/>
      <c r="K3" s="117"/>
      <c r="L3" s="117"/>
      <c r="M3" s="114"/>
      <c r="N3" s="114"/>
      <c r="O3" s="118" t="s">
        <v>638</v>
      </c>
      <c r="P3" s="118"/>
      <c r="Q3" s="118"/>
    </row>
    <row r="4" spans="1:17" ht="26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9">
        <v>44509</v>
      </c>
      <c r="P4" s="119"/>
      <c r="Q4" s="119"/>
    </row>
    <row r="5" spans="2:17" ht="26.25" customHeight="1">
      <c r="B5" s="120"/>
      <c r="C5" s="121"/>
      <c r="D5" s="120"/>
      <c r="E5" s="120"/>
      <c r="F5" s="120"/>
      <c r="G5" s="122"/>
      <c r="H5" s="122"/>
      <c r="I5" s="122"/>
      <c r="J5" s="122"/>
      <c r="K5" s="122"/>
      <c r="L5" s="122"/>
      <c r="M5" s="122"/>
      <c r="N5" s="122"/>
      <c r="O5" s="118"/>
      <c r="P5" s="118"/>
      <c r="Q5" s="118"/>
    </row>
    <row r="6" ht="24.75" customHeight="1">
      <c r="Q6" s="123"/>
    </row>
    <row r="7" spans="1:17" ht="47.25" customHeight="1">
      <c r="A7" s="140" t="s">
        <v>107</v>
      </c>
      <c r="B7" s="140" t="s">
        <v>87</v>
      </c>
      <c r="C7" s="141" t="s">
        <v>83</v>
      </c>
      <c r="D7" s="141" t="s">
        <v>152</v>
      </c>
      <c r="E7" s="141"/>
      <c r="F7" s="141" t="s">
        <v>153</v>
      </c>
      <c r="G7" s="141" t="s">
        <v>75</v>
      </c>
      <c r="H7" s="141"/>
      <c r="I7" s="141" t="s">
        <v>74</v>
      </c>
      <c r="J7" s="141"/>
      <c r="K7" s="141"/>
      <c r="L7" s="141"/>
      <c r="M7" s="141" t="s">
        <v>88</v>
      </c>
      <c r="N7" s="142"/>
      <c r="O7" s="142"/>
      <c r="P7" s="142"/>
      <c r="Q7" s="141" t="s">
        <v>117</v>
      </c>
    </row>
    <row r="8" spans="1:17" ht="29.25" customHeight="1">
      <c r="A8" s="140"/>
      <c r="B8" s="140"/>
      <c r="C8" s="141"/>
      <c r="D8" s="141"/>
      <c r="E8" s="141"/>
      <c r="F8" s="142"/>
      <c r="G8" s="141" t="s">
        <v>79</v>
      </c>
      <c r="H8" s="141" t="s">
        <v>80</v>
      </c>
      <c r="I8" s="140" t="s">
        <v>86</v>
      </c>
      <c r="J8" s="140" t="s">
        <v>76</v>
      </c>
      <c r="K8" s="140" t="s">
        <v>77</v>
      </c>
      <c r="L8" s="140" t="s">
        <v>78</v>
      </c>
      <c r="M8" s="141" t="s">
        <v>398</v>
      </c>
      <c r="N8" s="143"/>
      <c r="O8" s="140" t="s">
        <v>399</v>
      </c>
      <c r="P8" s="140" t="s">
        <v>400</v>
      </c>
      <c r="Q8" s="141"/>
    </row>
    <row r="9" spans="1:17" ht="84.75" customHeight="1">
      <c r="A9" s="140"/>
      <c r="B9" s="140"/>
      <c r="C9" s="141"/>
      <c r="D9" s="141"/>
      <c r="E9" s="141"/>
      <c r="F9" s="142"/>
      <c r="G9" s="141"/>
      <c r="H9" s="141"/>
      <c r="I9" s="140"/>
      <c r="J9" s="140"/>
      <c r="K9" s="140"/>
      <c r="L9" s="140"/>
      <c r="M9" s="144" t="s">
        <v>148</v>
      </c>
      <c r="N9" s="144" t="s">
        <v>149</v>
      </c>
      <c r="O9" s="140"/>
      <c r="P9" s="140"/>
      <c r="Q9" s="141"/>
    </row>
    <row r="10" spans="1:17" ht="26.25" customHeight="1">
      <c r="A10" s="145">
        <v>1</v>
      </c>
      <c r="B10" s="145">
        <v>2</v>
      </c>
      <c r="C10" s="145">
        <v>3</v>
      </c>
      <c r="D10" s="141">
        <v>4</v>
      </c>
      <c r="E10" s="141"/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</row>
    <row r="11" spans="1:17" ht="29.25" customHeight="1">
      <c r="A11" s="59">
        <v>812</v>
      </c>
      <c r="B11" s="59" t="s">
        <v>91</v>
      </c>
      <c r="C11" s="45" t="s">
        <v>59</v>
      </c>
      <c r="D11" s="46" t="s">
        <v>485</v>
      </c>
      <c r="E11" s="47"/>
      <c r="F11" s="52" t="s">
        <v>238</v>
      </c>
      <c r="G11" s="85">
        <v>34929</v>
      </c>
      <c r="H11" s="52" t="s">
        <v>7</v>
      </c>
      <c r="I11" s="60" t="s">
        <v>136</v>
      </c>
      <c r="J11" s="60" t="s">
        <v>258</v>
      </c>
      <c r="K11" s="14" t="s">
        <v>145</v>
      </c>
      <c r="L11" s="12">
        <v>200</v>
      </c>
      <c r="M11" s="15">
        <v>4589.9</v>
      </c>
      <c r="N11" s="15">
        <v>4575.395</v>
      </c>
      <c r="O11" s="15">
        <f>4376+650.8-31.8</f>
        <v>4995</v>
      </c>
      <c r="P11" s="15">
        <v>4697.2</v>
      </c>
      <c r="Q11" s="52" t="s">
        <v>123</v>
      </c>
    </row>
    <row r="12" spans="1:17" ht="29.25" customHeight="1">
      <c r="A12" s="59"/>
      <c r="B12" s="59"/>
      <c r="C12" s="45"/>
      <c r="D12" s="50"/>
      <c r="E12" s="51"/>
      <c r="F12" s="54"/>
      <c r="G12" s="87"/>
      <c r="H12" s="54"/>
      <c r="I12" s="62"/>
      <c r="J12" s="62"/>
      <c r="K12" s="14" t="s">
        <v>141</v>
      </c>
      <c r="L12" s="12">
        <v>200</v>
      </c>
      <c r="M12" s="15">
        <v>0</v>
      </c>
      <c r="N12" s="15">
        <v>0</v>
      </c>
      <c r="O12" s="15">
        <v>31.8</v>
      </c>
      <c r="P12" s="15">
        <v>0</v>
      </c>
      <c r="Q12" s="54"/>
    </row>
    <row r="13" spans="1:17" ht="24" customHeight="1">
      <c r="A13" s="59">
        <v>812</v>
      </c>
      <c r="B13" s="59" t="s">
        <v>92</v>
      </c>
      <c r="C13" s="55" t="s">
        <v>60</v>
      </c>
      <c r="D13" s="55" t="s">
        <v>192</v>
      </c>
      <c r="E13" s="55"/>
      <c r="F13" s="59" t="s">
        <v>157</v>
      </c>
      <c r="G13" s="63">
        <v>40095</v>
      </c>
      <c r="H13" s="59" t="s">
        <v>7</v>
      </c>
      <c r="I13" s="65" t="s">
        <v>132</v>
      </c>
      <c r="J13" s="65" t="s">
        <v>193</v>
      </c>
      <c r="K13" s="14" t="s">
        <v>145</v>
      </c>
      <c r="L13" s="12">
        <v>200</v>
      </c>
      <c r="M13" s="15">
        <f>159337.9+529.2+40535.5</f>
        <v>200402.6</v>
      </c>
      <c r="N13" s="15">
        <f>159329.458+527.163+40451.563</f>
        <v>200308.184</v>
      </c>
      <c r="O13" s="27">
        <v>198266</v>
      </c>
      <c r="P13" s="15">
        <v>207110.2</v>
      </c>
      <c r="Q13" s="59" t="s">
        <v>123</v>
      </c>
    </row>
    <row r="14" spans="1:17" ht="24" customHeight="1">
      <c r="A14" s="59"/>
      <c r="B14" s="59"/>
      <c r="C14" s="55"/>
      <c r="D14" s="67"/>
      <c r="E14" s="67"/>
      <c r="F14" s="66"/>
      <c r="G14" s="59"/>
      <c r="H14" s="59"/>
      <c r="I14" s="65"/>
      <c r="J14" s="65"/>
      <c r="K14" s="14" t="s">
        <v>141</v>
      </c>
      <c r="L14" s="12" t="s">
        <v>114</v>
      </c>
      <c r="M14" s="15">
        <f>8168.3+24103.93</f>
        <v>32272.23</v>
      </c>
      <c r="N14" s="15">
        <f>8040.122+23628.386</f>
        <v>31668.507999999998</v>
      </c>
      <c r="O14" s="15">
        <f>35653.5-327.6</f>
        <v>35325.9</v>
      </c>
      <c r="P14" s="15">
        <v>40443.8</v>
      </c>
      <c r="Q14" s="66"/>
    </row>
    <row r="15" spans="1:17" ht="24" customHeight="1">
      <c r="A15" s="59"/>
      <c r="B15" s="59"/>
      <c r="C15" s="55"/>
      <c r="D15" s="67"/>
      <c r="E15" s="67"/>
      <c r="F15" s="66"/>
      <c r="G15" s="59"/>
      <c r="H15" s="59"/>
      <c r="I15" s="65"/>
      <c r="J15" s="65"/>
      <c r="K15" s="14" t="s">
        <v>147</v>
      </c>
      <c r="L15" s="12">
        <v>300</v>
      </c>
      <c r="M15" s="15">
        <v>188.8</v>
      </c>
      <c r="N15" s="15">
        <v>188.71</v>
      </c>
      <c r="O15" s="15">
        <v>1237.2</v>
      </c>
      <c r="P15" s="15">
        <v>0</v>
      </c>
      <c r="Q15" s="66"/>
    </row>
    <row r="16" spans="1:17" ht="24" customHeight="1">
      <c r="A16" s="59"/>
      <c r="B16" s="59"/>
      <c r="C16" s="55"/>
      <c r="D16" s="67"/>
      <c r="E16" s="67"/>
      <c r="F16" s="66"/>
      <c r="G16" s="59"/>
      <c r="H16" s="59"/>
      <c r="I16" s="65"/>
      <c r="J16" s="65"/>
      <c r="K16" s="14" t="s">
        <v>146</v>
      </c>
      <c r="L16" s="12">
        <v>200</v>
      </c>
      <c r="M16" s="15">
        <f>184.3+13</f>
        <v>197.3</v>
      </c>
      <c r="N16" s="15">
        <f>184.295+12.943</f>
        <v>197.238</v>
      </c>
      <c r="O16" s="15">
        <v>255</v>
      </c>
      <c r="P16" s="15">
        <v>208.1</v>
      </c>
      <c r="Q16" s="66"/>
    </row>
    <row r="17" spans="1:17" ht="33" customHeight="1">
      <c r="A17" s="59">
        <v>812</v>
      </c>
      <c r="B17" s="59" t="s">
        <v>387</v>
      </c>
      <c r="C17" s="55" t="s">
        <v>269</v>
      </c>
      <c r="D17" s="55" t="s">
        <v>196</v>
      </c>
      <c r="E17" s="55"/>
      <c r="F17" s="59" t="s">
        <v>234</v>
      </c>
      <c r="G17" s="63">
        <v>39541</v>
      </c>
      <c r="H17" s="59" t="s">
        <v>7</v>
      </c>
      <c r="I17" s="65" t="s">
        <v>132</v>
      </c>
      <c r="J17" s="65" t="s">
        <v>193</v>
      </c>
      <c r="K17" s="14" t="s">
        <v>145</v>
      </c>
      <c r="L17" s="12">
        <v>200</v>
      </c>
      <c r="M17" s="15">
        <f>17102.18+5060.62</f>
        <v>22162.8</v>
      </c>
      <c r="N17" s="15">
        <f>17100.207+5060.616</f>
        <v>22160.822999999997</v>
      </c>
      <c r="O17" s="28">
        <v>22686.1</v>
      </c>
      <c r="P17" s="15">
        <v>23695.4</v>
      </c>
      <c r="Q17" s="59" t="s">
        <v>123</v>
      </c>
    </row>
    <row r="18" spans="1:17" ht="33" customHeight="1">
      <c r="A18" s="59"/>
      <c r="B18" s="59"/>
      <c r="C18" s="88"/>
      <c r="D18" s="67"/>
      <c r="E18" s="67"/>
      <c r="F18" s="66"/>
      <c r="G18" s="59"/>
      <c r="H18" s="59"/>
      <c r="I18" s="65"/>
      <c r="J18" s="65"/>
      <c r="K18" s="14" t="s">
        <v>141</v>
      </c>
      <c r="L18" s="12" t="s">
        <v>114</v>
      </c>
      <c r="M18" s="15">
        <f>693.5+2268.6</f>
        <v>2962.1</v>
      </c>
      <c r="N18" s="15">
        <f>690.161+2126.356</f>
        <v>2816.5170000000003</v>
      </c>
      <c r="O18" s="15">
        <f>3519.4+53.4+861.83</f>
        <v>4434.63</v>
      </c>
      <c r="P18" s="15">
        <v>3746.386</v>
      </c>
      <c r="Q18" s="59"/>
    </row>
    <row r="19" spans="1:17" ht="33" customHeight="1">
      <c r="A19" s="59"/>
      <c r="B19" s="59"/>
      <c r="C19" s="88"/>
      <c r="D19" s="67"/>
      <c r="E19" s="67"/>
      <c r="F19" s="66"/>
      <c r="G19" s="59"/>
      <c r="H19" s="59"/>
      <c r="I19" s="65"/>
      <c r="J19" s="65"/>
      <c r="K19" s="14" t="s">
        <v>147</v>
      </c>
      <c r="L19" s="12">
        <v>200</v>
      </c>
      <c r="M19" s="15">
        <v>0</v>
      </c>
      <c r="N19" s="15">
        <v>0</v>
      </c>
      <c r="O19" s="15">
        <v>0</v>
      </c>
      <c r="P19" s="15">
        <v>0</v>
      </c>
      <c r="Q19" s="59"/>
    </row>
    <row r="20" spans="1:17" ht="33" customHeight="1">
      <c r="A20" s="59"/>
      <c r="B20" s="59"/>
      <c r="C20" s="88"/>
      <c r="D20" s="67"/>
      <c r="E20" s="67"/>
      <c r="F20" s="66"/>
      <c r="G20" s="59"/>
      <c r="H20" s="59"/>
      <c r="I20" s="65"/>
      <c r="J20" s="59"/>
      <c r="K20" s="14" t="s">
        <v>146</v>
      </c>
      <c r="L20" s="12">
        <v>200</v>
      </c>
      <c r="M20" s="15">
        <v>0.8</v>
      </c>
      <c r="N20" s="15">
        <v>0.8</v>
      </c>
      <c r="O20" s="15">
        <f>12+83.9</f>
        <v>95.9</v>
      </c>
      <c r="P20" s="15">
        <v>12</v>
      </c>
      <c r="Q20" s="59"/>
    </row>
    <row r="21" spans="1:17" ht="33" customHeight="1">
      <c r="A21" s="59">
        <v>812</v>
      </c>
      <c r="B21" s="59" t="s">
        <v>93</v>
      </c>
      <c r="C21" s="55" t="s">
        <v>314</v>
      </c>
      <c r="D21" s="55" t="s">
        <v>315</v>
      </c>
      <c r="E21" s="55"/>
      <c r="F21" s="59" t="s">
        <v>316</v>
      </c>
      <c r="G21" s="63">
        <v>43160</v>
      </c>
      <c r="H21" s="59" t="s">
        <v>7</v>
      </c>
      <c r="I21" s="65" t="s">
        <v>132</v>
      </c>
      <c r="J21" s="65" t="s">
        <v>193</v>
      </c>
      <c r="K21" s="14" t="s">
        <v>145</v>
      </c>
      <c r="L21" s="12">
        <v>200</v>
      </c>
      <c r="M21" s="15">
        <f>18739.8+0.84+5395.5</f>
        <v>24136.14</v>
      </c>
      <c r="N21" s="15">
        <f>18702.983+0.77+5394.73</f>
        <v>24098.483</v>
      </c>
      <c r="O21" s="28">
        <v>29764.7</v>
      </c>
      <c r="P21" s="15">
        <v>29823</v>
      </c>
      <c r="Q21" s="59" t="s">
        <v>123</v>
      </c>
    </row>
    <row r="22" spans="1:17" ht="33" customHeight="1">
      <c r="A22" s="59"/>
      <c r="B22" s="59"/>
      <c r="C22" s="88"/>
      <c r="D22" s="67"/>
      <c r="E22" s="67"/>
      <c r="F22" s="66"/>
      <c r="G22" s="59"/>
      <c r="H22" s="59"/>
      <c r="I22" s="65"/>
      <c r="J22" s="65"/>
      <c r="K22" s="14" t="s">
        <v>141</v>
      </c>
      <c r="L22" s="12" t="s">
        <v>114</v>
      </c>
      <c r="M22" s="15">
        <f>611.9+837.2</f>
        <v>1449.1</v>
      </c>
      <c r="N22" s="15">
        <f>580.711+718.812</f>
        <v>1299.5230000000001</v>
      </c>
      <c r="O22" s="15">
        <v>1341.5</v>
      </c>
      <c r="P22" s="15">
        <v>1493.418</v>
      </c>
      <c r="Q22" s="59"/>
    </row>
    <row r="23" spans="1:17" ht="33" customHeight="1">
      <c r="A23" s="59"/>
      <c r="B23" s="59"/>
      <c r="C23" s="88"/>
      <c r="D23" s="67"/>
      <c r="E23" s="67"/>
      <c r="F23" s="66"/>
      <c r="G23" s="59"/>
      <c r="H23" s="59"/>
      <c r="I23" s="65"/>
      <c r="J23" s="65"/>
      <c r="K23" s="14" t="s">
        <v>147</v>
      </c>
      <c r="L23" s="12">
        <v>200</v>
      </c>
      <c r="M23" s="15">
        <v>0</v>
      </c>
      <c r="N23" s="15">
        <v>0</v>
      </c>
      <c r="O23" s="15">
        <v>0</v>
      </c>
      <c r="P23" s="15">
        <v>0</v>
      </c>
      <c r="Q23" s="59"/>
    </row>
    <row r="24" spans="1:17" ht="33" customHeight="1">
      <c r="A24" s="59"/>
      <c r="B24" s="59"/>
      <c r="C24" s="88"/>
      <c r="D24" s="67"/>
      <c r="E24" s="67"/>
      <c r="F24" s="66"/>
      <c r="G24" s="59"/>
      <c r="H24" s="59"/>
      <c r="I24" s="65"/>
      <c r="J24" s="59"/>
      <c r="K24" s="14" t="s">
        <v>146</v>
      </c>
      <c r="L24" s="12">
        <v>200</v>
      </c>
      <c r="M24" s="15">
        <v>0</v>
      </c>
      <c r="N24" s="15">
        <v>0</v>
      </c>
      <c r="O24" s="15">
        <v>17</v>
      </c>
      <c r="P24" s="15">
        <f>O24</f>
        <v>17</v>
      </c>
      <c r="Q24" s="59"/>
    </row>
    <row r="25" spans="1:17" ht="48" customHeight="1">
      <c r="A25" s="20">
        <v>812</v>
      </c>
      <c r="B25" s="20" t="s">
        <v>244</v>
      </c>
      <c r="C25" s="31" t="s">
        <v>401</v>
      </c>
      <c r="D25" s="71" t="s">
        <v>525</v>
      </c>
      <c r="E25" s="72"/>
      <c r="F25" s="20" t="s">
        <v>434</v>
      </c>
      <c r="G25" s="19">
        <v>44197</v>
      </c>
      <c r="H25" s="19">
        <v>44561</v>
      </c>
      <c r="I25" s="23" t="s">
        <v>132</v>
      </c>
      <c r="J25" s="23" t="s">
        <v>370</v>
      </c>
      <c r="K25" s="14" t="s">
        <v>141</v>
      </c>
      <c r="L25" s="12">
        <v>200</v>
      </c>
      <c r="M25" s="15">
        <v>0</v>
      </c>
      <c r="N25" s="15">
        <v>0</v>
      </c>
      <c r="O25" s="15">
        <v>414.5</v>
      </c>
      <c r="P25" s="15">
        <v>0</v>
      </c>
      <c r="Q25" s="12" t="s">
        <v>123</v>
      </c>
    </row>
    <row r="26" spans="1:17" ht="27" customHeight="1">
      <c r="A26" s="59">
        <v>812</v>
      </c>
      <c r="B26" s="59" t="s">
        <v>365</v>
      </c>
      <c r="C26" s="55" t="s">
        <v>62</v>
      </c>
      <c r="D26" s="55" t="s">
        <v>194</v>
      </c>
      <c r="E26" s="55"/>
      <c r="F26" s="59" t="s">
        <v>157</v>
      </c>
      <c r="G26" s="63">
        <v>41715</v>
      </c>
      <c r="H26" s="59" t="s">
        <v>7</v>
      </c>
      <c r="I26" s="65" t="s">
        <v>195</v>
      </c>
      <c r="J26" s="65" t="s">
        <v>193</v>
      </c>
      <c r="K26" s="14" t="s">
        <v>145</v>
      </c>
      <c r="L26" s="12">
        <v>200</v>
      </c>
      <c r="M26" s="15">
        <f>15823.9+4674.9</f>
        <v>20498.8</v>
      </c>
      <c r="N26" s="15">
        <f>15818.109+4603.249</f>
        <v>20421.358</v>
      </c>
      <c r="O26" s="28">
        <v>20009.3</v>
      </c>
      <c r="P26" s="15">
        <v>20689.8</v>
      </c>
      <c r="Q26" s="59" t="s">
        <v>123</v>
      </c>
    </row>
    <row r="27" spans="1:17" ht="27" customHeight="1">
      <c r="A27" s="59"/>
      <c r="B27" s="59"/>
      <c r="C27" s="55"/>
      <c r="D27" s="67"/>
      <c r="E27" s="67"/>
      <c r="F27" s="66"/>
      <c r="G27" s="59"/>
      <c r="H27" s="59"/>
      <c r="I27" s="65"/>
      <c r="J27" s="65"/>
      <c r="K27" s="14" t="s">
        <v>141</v>
      </c>
      <c r="L27" s="12" t="s">
        <v>114</v>
      </c>
      <c r="M27" s="15">
        <f>375.6+248.4</f>
        <v>624</v>
      </c>
      <c r="N27" s="15">
        <f>337.626+215.265</f>
        <v>552.891</v>
      </c>
      <c r="O27" s="15">
        <v>670.1</v>
      </c>
      <c r="P27" s="15">
        <v>580.8</v>
      </c>
      <c r="Q27" s="59"/>
    </row>
    <row r="28" spans="1:17" ht="27" customHeight="1">
      <c r="A28" s="59"/>
      <c r="B28" s="59"/>
      <c r="C28" s="55"/>
      <c r="D28" s="67"/>
      <c r="E28" s="67"/>
      <c r="F28" s="66"/>
      <c r="G28" s="59"/>
      <c r="H28" s="59"/>
      <c r="I28" s="59"/>
      <c r="J28" s="65"/>
      <c r="K28" s="14" t="s">
        <v>146</v>
      </c>
      <c r="L28" s="12">
        <v>200</v>
      </c>
      <c r="M28" s="15">
        <v>0</v>
      </c>
      <c r="N28" s="15">
        <v>0</v>
      </c>
      <c r="O28" s="15">
        <v>1.6</v>
      </c>
      <c r="P28" s="15">
        <f>O28</f>
        <v>1.6</v>
      </c>
      <c r="Q28" s="59"/>
    </row>
    <row r="29" spans="1:17" ht="28.5" customHeight="1">
      <c r="A29" s="59">
        <v>812</v>
      </c>
      <c r="B29" s="59" t="s">
        <v>0</v>
      </c>
      <c r="C29" s="55" t="s">
        <v>61</v>
      </c>
      <c r="D29" s="55" t="s">
        <v>262</v>
      </c>
      <c r="E29" s="55"/>
      <c r="F29" s="59" t="s">
        <v>234</v>
      </c>
      <c r="G29" s="63">
        <v>40634</v>
      </c>
      <c r="H29" s="59" t="s">
        <v>7</v>
      </c>
      <c r="I29" s="65" t="s">
        <v>195</v>
      </c>
      <c r="J29" s="65" t="s">
        <v>193</v>
      </c>
      <c r="K29" s="14" t="s">
        <v>145</v>
      </c>
      <c r="L29" s="12">
        <v>200</v>
      </c>
      <c r="M29" s="15">
        <f>28598.5+0.986+8263.913</f>
        <v>36863.399000000005</v>
      </c>
      <c r="N29" s="15">
        <f>28595.7+0.986+8262.785</f>
        <v>36859.471000000005</v>
      </c>
      <c r="O29" s="28">
        <v>36484</v>
      </c>
      <c r="P29" s="15">
        <v>38752.8</v>
      </c>
      <c r="Q29" s="59" t="s">
        <v>123</v>
      </c>
    </row>
    <row r="30" spans="1:17" ht="28.5" customHeight="1">
      <c r="A30" s="59"/>
      <c r="B30" s="59"/>
      <c r="C30" s="55"/>
      <c r="D30" s="67"/>
      <c r="E30" s="67"/>
      <c r="F30" s="66"/>
      <c r="G30" s="59"/>
      <c r="H30" s="59"/>
      <c r="I30" s="65"/>
      <c r="J30" s="65"/>
      <c r="K30" s="14" t="s">
        <v>141</v>
      </c>
      <c r="L30" s="12" t="s">
        <v>114</v>
      </c>
      <c r="M30" s="15">
        <f>2593.517+514.317</f>
        <v>3107.834</v>
      </c>
      <c r="N30" s="15">
        <f>2592.64+511.635</f>
        <v>3104.2749999999996</v>
      </c>
      <c r="O30" s="15">
        <f>6137.2-482.6</f>
        <v>5654.599999999999</v>
      </c>
      <c r="P30" s="15">
        <f>O30*1.04</f>
        <v>5880.784</v>
      </c>
      <c r="Q30" s="59"/>
    </row>
    <row r="31" spans="1:17" ht="28.5" customHeight="1">
      <c r="A31" s="59"/>
      <c r="B31" s="59"/>
      <c r="C31" s="55"/>
      <c r="D31" s="67"/>
      <c r="E31" s="67"/>
      <c r="F31" s="66"/>
      <c r="G31" s="59"/>
      <c r="H31" s="59"/>
      <c r="I31" s="65"/>
      <c r="J31" s="65"/>
      <c r="K31" s="14" t="s">
        <v>147</v>
      </c>
      <c r="L31" s="12">
        <v>200</v>
      </c>
      <c r="M31" s="15">
        <v>0</v>
      </c>
      <c r="N31" s="15">
        <v>0</v>
      </c>
      <c r="O31" s="15">
        <v>0</v>
      </c>
      <c r="P31" s="15">
        <v>0</v>
      </c>
      <c r="Q31" s="59"/>
    </row>
    <row r="32" spans="1:17" ht="28.5" customHeight="1">
      <c r="A32" s="59"/>
      <c r="B32" s="59"/>
      <c r="C32" s="55"/>
      <c r="D32" s="67"/>
      <c r="E32" s="67"/>
      <c r="F32" s="66"/>
      <c r="G32" s="59"/>
      <c r="H32" s="59"/>
      <c r="I32" s="59"/>
      <c r="J32" s="65"/>
      <c r="K32" s="14" t="s">
        <v>146</v>
      </c>
      <c r="L32" s="12">
        <v>200</v>
      </c>
      <c r="M32" s="15">
        <v>0</v>
      </c>
      <c r="N32" s="15">
        <v>0</v>
      </c>
      <c r="O32" s="15">
        <v>10</v>
      </c>
      <c r="P32" s="15">
        <f>O32</f>
        <v>10</v>
      </c>
      <c r="Q32" s="59"/>
    </row>
    <row r="33" spans="1:17" ht="125.25" customHeight="1">
      <c r="A33" s="59">
        <v>812</v>
      </c>
      <c r="B33" s="59" t="s">
        <v>94</v>
      </c>
      <c r="C33" s="56" t="s">
        <v>138</v>
      </c>
      <c r="D33" s="55" t="s">
        <v>286</v>
      </c>
      <c r="E33" s="55"/>
      <c r="F33" s="12" t="s">
        <v>197</v>
      </c>
      <c r="G33" s="13">
        <v>41635</v>
      </c>
      <c r="H33" s="12" t="s">
        <v>7</v>
      </c>
      <c r="I33" s="14" t="s">
        <v>137</v>
      </c>
      <c r="J33" s="14" t="s">
        <v>198</v>
      </c>
      <c r="K33" s="14" t="s">
        <v>146</v>
      </c>
      <c r="L33" s="12">
        <v>200</v>
      </c>
      <c r="M33" s="15">
        <v>268.46</v>
      </c>
      <c r="N33" s="15">
        <v>0</v>
      </c>
      <c r="O33" s="15">
        <f>4357.3-1207</f>
        <v>3150.3</v>
      </c>
      <c r="P33" s="15">
        <v>5000</v>
      </c>
      <c r="Q33" s="52" t="s">
        <v>123</v>
      </c>
    </row>
    <row r="34" spans="1:17" ht="54" customHeight="1">
      <c r="A34" s="59"/>
      <c r="B34" s="59"/>
      <c r="C34" s="57"/>
      <c r="D34" s="75" t="s">
        <v>539</v>
      </c>
      <c r="E34" s="113"/>
      <c r="F34" s="12" t="s">
        <v>237</v>
      </c>
      <c r="G34" s="13">
        <v>43900</v>
      </c>
      <c r="H34" s="13">
        <v>44561</v>
      </c>
      <c r="I34" s="14" t="s">
        <v>99</v>
      </c>
      <c r="J34" s="14" t="s">
        <v>540</v>
      </c>
      <c r="K34" s="14" t="s">
        <v>146</v>
      </c>
      <c r="L34" s="12">
        <v>242</v>
      </c>
      <c r="M34" s="15">
        <v>0</v>
      </c>
      <c r="N34" s="15">
        <v>0</v>
      </c>
      <c r="O34" s="15">
        <f>38.4+1207</f>
        <v>1245.4</v>
      </c>
      <c r="P34" s="15">
        <v>0</v>
      </c>
      <c r="Q34" s="53"/>
    </row>
    <row r="35" spans="1:17" ht="66" customHeight="1">
      <c r="A35" s="59"/>
      <c r="B35" s="59"/>
      <c r="C35" s="57"/>
      <c r="D35" s="75" t="s">
        <v>579</v>
      </c>
      <c r="E35" s="76"/>
      <c r="F35" s="12" t="s">
        <v>237</v>
      </c>
      <c r="G35" s="13">
        <v>44399</v>
      </c>
      <c r="H35" s="13">
        <v>44561</v>
      </c>
      <c r="I35" s="14" t="s">
        <v>247</v>
      </c>
      <c r="J35" s="14" t="s">
        <v>540</v>
      </c>
      <c r="K35" s="14" t="s">
        <v>112</v>
      </c>
      <c r="L35" s="12">
        <v>200</v>
      </c>
      <c r="M35" s="15">
        <v>0</v>
      </c>
      <c r="N35" s="15">
        <v>0</v>
      </c>
      <c r="O35" s="15">
        <v>70.1</v>
      </c>
      <c r="P35" s="15">
        <v>0</v>
      </c>
      <c r="Q35" s="53"/>
    </row>
    <row r="36" spans="1:17" ht="84" customHeight="1">
      <c r="A36" s="59"/>
      <c r="B36" s="59"/>
      <c r="C36" s="58"/>
      <c r="D36" s="75" t="s">
        <v>580</v>
      </c>
      <c r="E36" s="76"/>
      <c r="F36" s="12" t="s">
        <v>237</v>
      </c>
      <c r="G36" s="13">
        <v>44399</v>
      </c>
      <c r="H36" s="13">
        <v>44561</v>
      </c>
      <c r="I36" s="14" t="s">
        <v>128</v>
      </c>
      <c r="J36" s="14" t="s">
        <v>540</v>
      </c>
      <c r="K36" s="14" t="s">
        <v>141</v>
      </c>
      <c r="L36" s="12">
        <v>300</v>
      </c>
      <c r="M36" s="15">
        <v>0</v>
      </c>
      <c r="N36" s="15">
        <v>0</v>
      </c>
      <c r="O36" s="15">
        <v>534.2</v>
      </c>
      <c r="P36" s="15">
        <v>0</v>
      </c>
      <c r="Q36" s="54"/>
    </row>
    <row r="37" spans="1:17" ht="53.25" customHeight="1">
      <c r="A37" s="52">
        <v>812</v>
      </c>
      <c r="B37" s="52" t="s">
        <v>95</v>
      </c>
      <c r="C37" s="56" t="s">
        <v>312</v>
      </c>
      <c r="D37" s="46" t="s">
        <v>280</v>
      </c>
      <c r="E37" s="47"/>
      <c r="F37" s="52" t="s">
        <v>234</v>
      </c>
      <c r="G37" s="85">
        <v>40256</v>
      </c>
      <c r="H37" s="52" t="s">
        <v>7</v>
      </c>
      <c r="I37" s="60" t="s">
        <v>135</v>
      </c>
      <c r="J37" s="60" t="s">
        <v>356</v>
      </c>
      <c r="K37" s="14" t="s">
        <v>141</v>
      </c>
      <c r="L37" s="12">
        <v>300</v>
      </c>
      <c r="M37" s="15">
        <v>2519.3</v>
      </c>
      <c r="N37" s="15">
        <v>2365.453</v>
      </c>
      <c r="O37" s="15">
        <f>1855+327.6</f>
        <v>2182.6</v>
      </c>
      <c r="P37" s="15">
        <f>O37*1.04</f>
        <v>2269.904</v>
      </c>
      <c r="Q37" s="52" t="s">
        <v>123</v>
      </c>
    </row>
    <row r="38" spans="1:17" ht="53.25" customHeight="1">
      <c r="A38" s="54"/>
      <c r="B38" s="54"/>
      <c r="C38" s="58"/>
      <c r="D38" s="50"/>
      <c r="E38" s="51"/>
      <c r="F38" s="54"/>
      <c r="G38" s="87"/>
      <c r="H38" s="54"/>
      <c r="I38" s="62"/>
      <c r="J38" s="62"/>
      <c r="K38" s="14" t="s">
        <v>146</v>
      </c>
      <c r="L38" s="12">
        <v>200</v>
      </c>
      <c r="M38" s="15">
        <v>69.92</v>
      </c>
      <c r="N38" s="15">
        <v>60.02</v>
      </c>
      <c r="O38" s="15">
        <v>103.9</v>
      </c>
      <c r="P38" s="15">
        <v>0</v>
      </c>
      <c r="Q38" s="54"/>
    </row>
    <row r="39" spans="1:17" ht="36.75" customHeight="1">
      <c r="A39" s="59">
        <v>812</v>
      </c>
      <c r="B39" s="59" t="s">
        <v>143</v>
      </c>
      <c r="C39" s="55" t="s">
        <v>332</v>
      </c>
      <c r="D39" s="46" t="s">
        <v>264</v>
      </c>
      <c r="E39" s="47"/>
      <c r="F39" s="52" t="s">
        <v>233</v>
      </c>
      <c r="G39" s="59" t="s">
        <v>257</v>
      </c>
      <c r="H39" s="59" t="s">
        <v>7</v>
      </c>
      <c r="I39" s="65" t="s">
        <v>135</v>
      </c>
      <c r="J39" s="65" t="s">
        <v>268</v>
      </c>
      <c r="K39" s="14" t="s">
        <v>145</v>
      </c>
      <c r="L39" s="12">
        <v>200</v>
      </c>
      <c r="M39" s="15">
        <f>7649.7+2048.5</f>
        <v>9698.2</v>
      </c>
      <c r="N39" s="15">
        <f>7639.894+2048.4</f>
        <v>9688.294</v>
      </c>
      <c r="O39" s="28">
        <v>10208.8</v>
      </c>
      <c r="P39" s="15">
        <v>10593.6</v>
      </c>
      <c r="Q39" s="59" t="s">
        <v>123</v>
      </c>
    </row>
    <row r="40" spans="1:17" ht="36.75" customHeight="1">
      <c r="A40" s="59"/>
      <c r="B40" s="59"/>
      <c r="C40" s="55"/>
      <c r="D40" s="50"/>
      <c r="E40" s="51"/>
      <c r="F40" s="54"/>
      <c r="G40" s="59"/>
      <c r="H40" s="59"/>
      <c r="I40" s="65"/>
      <c r="J40" s="65"/>
      <c r="K40" s="14" t="s">
        <v>141</v>
      </c>
      <c r="L40" s="12" t="s">
        <v>114</v>
      </c>
      <c r="M40" s="15">
        <f>347.455+276.845</f>
        <v>624.3</v>
      </c>
      <c r="N40" s="15">
        <f>343.419+273.023</f>
        <v>616.442</v>
      </c>
      <c r="O40" s="15">
        <v>847</v>
      </c>
      <c r="P40" s="15">
        <v>896.5</v>
      </c>
      <c r="Q40" s="66"/>
    </row>
    <row r="41" spans="1:17" ht="67.5" customHeight="1">
      <c r="A41" s="59"/>
      <c r="B41" s="59"/>
      <c r="C41" s="55"/>
      <c r="D41" s="46" t="s">
        <v>265</v>
      </c>
      <c r="E41" s="47"/>
      <c r="F41" s="20" t="s">
        <v>263</v>
      </c>
      <c r="G41" s="59"/>
      <c r="H41" s="59"/>
      <c r="I41" s="65"/>
      <c r="J41" s="65"/>
      <c r="K41" s="12">
        <v>800</v>
      </c>
      <c r="L41" s="12">
        <v>200</v>
      </c>
      <c r="M41" s="15">
        <f>0.85+0.15</f>
        <v>1</v>
      </c>
      <c r="N41" s="15">
        <f>0.8+0.105</f>
        <v>0.905</v>
      </c>
      <c r="O41" s="15">
        <v>26</v>
      </c>
      <c r="P41" s="15">
        <v>24.3</v>
      </c>
      <c r="Q41" s="66"/>
    </row>
    <row r="42" spans="1:17" ht="25.5" customHeight="1">
      <c r="A42" s="59">
        <v>812</v>
      </c>
      <c r="B42" s="59" t="s">
        <v>96</v>
      </c>
      <c r="C42" s="55" t="s">
        <v>63</v>
      </c>
      <c r="D42" s="55" t="s">
        <v>199</v>
      </c>
      <c r="E42" s="55"/>
      <c r="F42" s="59" t="s">
        <v>232</v>
      </c>
      <c r="G42" s="63">
        <v>40887</v>
      </c>
      <c r="H42" s="59" t="s">
        <v>7</v>
      </c>
      <c r="I42" s="65" t="s">
        <v>135</v>
      </c>
      <c r="J42" s="65" t="s">
        <v>200</v>
      </c>
      <c r="K42" s="14" t="s">
        <v>145</v>
      </c>
      <c r="L42" s="12">
        <v>200</v>
      </c>
      <c r="M42" s="15">
        <f>4173.9+1237.1</f>
        <v>5411</v>
      </c>
      <c r="N42" s="15">
        <f>4173.899+1237.1</f>
        <v>5410.999</v>
      </c>
      <c r="O42" s="28">
        <v>5348.1</v>
      </c>
      <c r="P42" s="15">
        <v>5606.7</v>
      </c>
      <c r="Q42" s="59" t="s">
        <v>123</v>
      </c>
    </row>
    <row r="43" spans="1:17" ht="33.75" customHeight="1">
      <c r="A43" s="59"/>
      <c r="B43" s="59"/>
      <c r="C43" s="55"/>
      <c r="D43" s="55"/>
      <c r="E43" s="55"/>
      <c r="F43" s="66"/>
      <c r="G43" s="63"/>
      <c r="H43" s="59"/>
      <c r="I43" s="65"/>
      <c r="J43" s="65"/>
      <c r="K43" s="14" t="s">
        <v>141</v>
      </c>
      <c r="L43" s="12" t="s">
        <v>114</v>
      </c>
      <c r="M43" s="15">
        <f>365.7+556.8</f>
        <v>922.5</v>
      </c>
      <c r="N43" s="15">
        <f>363.105+545.863</f>
        <v>908.9680000000001</v>
      </c>
      <c r="O43" s="15">
        <v>1047.5</v>
      </c>
      <c r="P43" s="15">
        <v>980.2</v>
      </c>
      <c r="Q43" s="59"/>
    </row>
    <row r="44" spans="1:17" ht="30.75" customHeight="1">
      <c r="A44" s="59"/>
      <c r="B44" s="59"/>
      <c r="C44" s="55"/>
      <c r="D44" s="55"/>
      <c r="E44" s="55"/>
      <c r="F44" s="66"/>
      <c r="G44" s="59"/>
      <c r="H44" s="59"/>
      <c r="I44" s="65"/>
      <c r="J44" s="65"/>
      <c r="K44" s="14" t="s">
        <v>146</v>
      </c>
      <c r="L44" s="12">
        <v>200</v>
      </c>
      <c r="M44" s="15">
        <f>2.5+3</f>
        <v>5.5</v>
      </c>
      <c r="N44" s="15">
        <f>0</f>
        <v>0</v>
      </c>
      <c r="O44" s="15">
        <v>5.5</v>
      </c>
      <c r="P44" s="15">
        <f>O44</f>
        <v>5.5</v>
      </c>
      <c r="Q44" s="59"/>
    </row>
    <row r="45" spans="1:17" ht="30" customHeight="1">
      <c r="A45" s="52">
        <v>812</v>
      </c>
      <c r="B45" s="52" t="s">
        <v>250</v>
      </c>
      <c r="C45" s="56" t="s">
        <v>245</v>
      </c>
      <c r="D45" s="46" t="s">
        <v>525</v>
      </c>
      <c r="E45" s="47"/>
      <c r="F45" s="52" t="s">
        <v>435</v>
      </c>
      <c r="G45" s="85">
        <v>44197</v>
      </c>
      <c r="H45" s="85">
        <v>44561</v>
      </c>
      <c r="I45" s="60" t="s">
        <v>135</v>
      </c>
      <c r="J45" s="60" t="s">
        <v>246</v>
      </c>
      <c r="K45" s="14" t="s">
        <v>145</v>
      </c>
      <c r="L45" s="12">
        <v>200</v>
      </c>
      <c r="M45" s="15">
        <f>3864+54.8+1196</f>
        <v>5114.8</v>
      </c>
      <c r="N45" s="15">
        <f>3776.222+1128.178</f>
        <v>4904.400000000001</v>
      </c>
      <c r="O45" s="15">
        <v>5349.7</v>
      </c>
      <c r="P45" s="15">
        <v>4626.4</v>
      </c>
      <c r="Q45" s="52" t="s">
        <v>119</v>
      </c>
    </row>
    <row r="46" spans="1:17" ht="28.5" customHeight="1">
      <c r="A46" s="53"/>
      <c r="B46" s="53"/>
      <c r="C46" s="57"/>
      <c r="D46" s="48"/>
      <c r="E46" s="49"/>
      <c r="F46" s="53"/>
      <c r="G46" s="86"/>
      <c r="H46" s="86"/>
      <c r="I46" s="61"/>
      <c r="J46" s="61"/>
      <c r="K46" s="14" t="s">
        <v>141</v>
      </c>
      <c r="L46" s="12" t="s">
        <v>114</v>
      </c>
      <c r="M46" s="15">
        <f>399.3+739.2</f>
        <v>1138.5</v>
      </c>
      <c r="N46" s="15">
        <f>343.016+491.906</f>
        <v>834.922</v>
      </c>
      <c r="O46" s="15">
        <v>893.5</v>
      </c>
      <c r="P46" s="15">
        <v>1548.6</v>
      </c>
      <c r="Q46" s="53"/>
    </row>
    <row r="47" spans="1:17" ht="26.25" customHeight="1">
      <c r="A47" s="54"/>
      <c r="B47" s="54"/>
      <c r="C47" s="58"/>
      <c r="D47" s="50"/>
      <c r="E47" s="51"/>
      <c r="F47" s="54"/>
      <c r="G47" s="87"/>
      <c r="H47" s="87"/>
      <c r="I47" s="62"/>
      <c r="J47" s="62"/>
      <c r="K47" s="14" t="s">
        <v>147</v>
      </c>
      <c r="L47" s="12">
        <v>200</v>
      </c>
      <c r="M47" s="15">
        <v>0</v>
      </c>
      <c r="N47" s="15">
        <v>0</v>
      </c>
      <c r="O47" s="15">
        <v>108.7</v>
      </c>
      <c r="P47" s="15">
        <v>0</v>
      </c>
      <c r="Q47" s="54"/>
    </row>
    <row r="48" spans="1:17" ht="30" customHeight="1">
      <c r="A48" s="59">
        <v>812</v>
      </c>
      <c r="B48" s="59" t="s">
        <v>48</v>
      </c>
      <c r="C48" s="55" t="s">
        <v>144</v>
      </c>
      <c r="D48" s="55" t="s">
        <v>207</v>
      </c>
      <c r="E48" s="55"/>
      <c r="F48" s="59" t="s">
        <v>232</v>
      </c>
      <c r="G48" s="63">
        <v>40883</v>
      </c>
      <c r="H48" s="59" t="s">
        <v>7</v>
      </c>
      <c r="I48" s="65" t="s">
        <v>106</v>
      </c>
      <c r="J48" s="65" t="s">
        <v>324</v>
      </c>
      <c r="K48" s="14" t="s">
        <v>145</v>
      </c>
      <c r="L48" s="12">
        <v>200</v>
      </c>
      <c r="M48" s="15">
        <f>5796.26+5.14+1737.9</f>
        <v>7539.300000000001</v>
      </c>
      <c r="N48" s="15">
        <f>0.84+5781.997+1693.446</f>
        <v>7476.283</v>
      </c>
      <c r="O48" s="15">
        <f>7053+430.2+279.7</f>
        <v>7762.9</v>
      </c>
      <c r="P48" s="15">
        <v>7935.7</v>
      </c>
      <c r="Q48" s="59" t="s">
        <v>123</v>
      </c>
    </row>
    <row r="49" spans="1:17" ht="30" customHeight="1">
      <c r="A49" s="59"/>
      <c r="B49" s="59"/>
      <c r="C49" s="55"/>
      <c r="D49" s="55"/>
      <c r="E49" s="55"/>
      <c r="F49" s="66"/>
      <c r="G49" s="59"/>
      <c r="H49" s="59"/>
      <c r="I49" s="65"/>
      <c r="J49" s="65"/>
      <c r="K49" s="14" t="s">
        <v>141</v>
      </c>
      <c r="L49" s="12" t="s">
        <v>114</v>
      </c>
      <c r="M49" s="15">
        <f>724.5+1085</f>
        <v>1809.5</v>
      </c>
      <c r="N49" s="15">
        <f>712.406+893.124</f>
        <v>1605.53</v>
      </c>
      <c r="O49" s="15">
        <f>2221.5-245.6</f>
        <v>1975.9</v>
      </c>
      <c r="P49" s="15">
        <v>1880.4</v>
      </c>
      <c r="Q49" s="59"/>
    </row>
    <row r="50" spans="1:17" ht="30" customHeight="1">
      <c r="A50" s="59"/>
      <c r="B50" s="59"/>
      <c r="C50" s="55"/>
      <c r="D50" s="55"/>
      <c r="E50" s="55"/>
      <c r="F50" s="66"/>
      <c r="G50" s="59"/>
      <c r="H50" s="59"/>
      <c r="I50" s="65"/>
      <c r="J50" s="65"/>
      <c r="K50" s="14" t="s">
        <v>147</v>
      </c>
      <c r="L50" s="12">
        <v>200</v>
      </c>
      <c r="M50" s="15">
        <v>97.1</v>
      </c>
      <c r="N50" s="15">
        <v>90.112</v>
      </c>
      <c r="O50" s="15">
        <v>0</v>
      </c>
      <c r="P50" s="15">
        <v>0</v>
      </c>
      <c r="Q50" s="59"/>
    </row>
    <row r="51" spans="1:17" ht="30" customHeight="1">
      <c r="A51" s="59"/>
      <c r="B51" s="59"/>
      <c r="C51" s="55"/>
      <c r="D51" s="55"/>
      <c r="E51" s="55"/>
      <c r="F51" s="66"/>
      <c r="G51" s="59"/>
      <c r="H51" s="59"/>
      <c r="I51" s="65"/>
      <c r="J51" s="65"/>
      <c r="K51" s="14" t="s">
        <v>146</v>
      </c>
      <c r="L51" s="12">
        <v>200</v>
      </c>
      <c r="M51" s="15">
        <f>7.7+16.8</f>
        <v>24.5</v>
      </c>
      <c r="N51" s="15">
        <f>4.838+0.28</f>
        <v>5.118</v>
      </c>
      <c r="O51" s="15">
        <v>24.5</v>
      </c>
      <c r="P51" s="15">
        <f>O51</f>
        <v>24.5</v>
      </c>
      <c r="Q51" s="59"/>
    </row>
    <row r="52" spans="1:17" ht="33.75" customHeight="1">
      <c r="A52" s="52">
        <v>812</v>
      </c>
      <c r="B52" s="52" t="s">
        <v>97</v>
      </c>
      <c r="C52" s="56" t="s">
        <v>358</v>
      </c>
      <c r="D52" s="71" t="s">
        <v>481</v>
      </c>
      <c r="E52" s="72"/>
      <c r="F52" s="52" t="s">
        <v>281</v>
      </c>
      <c r="G52" s="85">
        <v>44197</v>
      </c>
      <c r="H52" s="85">
        <v>45657</v>
      </c>
      <c r="I52" s="60" t="s">
        <v>106</v>
      </c>
      <c r="J52" s="60" t="s">
        <v>325</v>
      </c>
      <c r="K52" s="14" t="s">
        <v>141</v>
      </c>
      <c r="L52" s="52" t="s">
        <v>114</v>
      </c>
      <c r="M52" s="15">
        <f>1.3+774.85</f>
        <v>776.15</v>
      </c>
      <c r="N52" s="15">
        <f>837.491+738.391</f>
        <v>1575.882</v>
      </c>
      <c r="O52" s="15">
        <v>866.8</v>
      </c>
      <c r="P52" s="15">
        <v>899.4</v>
      </c>
      <c r="Q52" s="52" t="s">
        <v>123</v>
      </c>
    </row>
    <row r="53" spans="1:17" ht="33.75" customHeight="1">
      <c r="A53" s="53"/>
      <c r="B53" s="53"/>
      <c r="C53" s="57"/>
      <c r="D53" s="124"/>
      <c r="E53" s="125"/>
      <c r="F53" s="53"/>
      <c r="G53" s="86"/>
      <c r="H53" s="86"/>
      <c r="I53" s="61"/>
      <c r="J53" s="61"/>
      <c r="K53" s="14" t="s">
        <v>147</v>
      </c>
      <c r="L53" s="54"/>
      <c r="M53" s="15">
        <v>98.15</v>
      </c>
      <c r="N53" s="15">
        <v>98.15</v>
      </c>
      <c r="O53" s="15">
        <f>147.4+57.6</f>
        <v>205</v>
      </c>
      <c r="P53" s="15">
        <v>206.2</v>
      </c>
      <c r="Q53" s="53"/>
    </row>
    <row r="54" spans="1:17" ht="18.75" customHeight="1">
      <c r="A54" s="53"/>
      <c r="B54" s="53"/>
      <c r="C54" s="57"/>
      <c r="D54" s="124"/>
      <c r="E54" s="125"/>
      <c r="F54" s="54"/>
      <c r="G54" s="87"/>
      <c r="H54" s="86"/>
      <c r="I54" s="61"/>
      <c r="J54" s="61"/>
      <c r="K54" s="60" t="s">
        <v>146</v>
      </c>
      <c r="L54" s="52">
        <v>200</v>
      </c>
      <c r="M54" s="83">
        <v>379</v>
      </c>
      <c r="N54" s="83">
        <v>290.683</v>
      </c>
      <c r="O54" s="83">
        <v>550.3</v>
      </c>
      <c r="P54" s="83">
        <v>601.7</v>
      </c>
      <c r="Q54" s="53"/>
    </row>
    <row r="55" spans="1:17" ht="34.5" customHeight="1">
      <c r="A55" s="54"/>
      <c r="B55" s="54"/>
      <c r="C55" s="58"/>
      <c r="D55" s="126"/>
      <c r="E55" s="127"/>
      <c r="F55" s="12" t="s">
        <v>486</v>
      </c>
      <c r="G55" s="13">
        <v>44197</v>
      </c>
      <c r="H55" s="87"/>
      <c r="I55" s="62"/>
      <c r="J55" s="62"/>
      <c r="K55" s="89"/>
      <c r="L55" s="54"/>
      <c r="M55" s="84"/>
      <c r="N55" s="84"/>
      <c r="O55" s="84"/>
      <c r="P55" s="84"/>
      <c r="Q55" s="54"/>
    </row>
    <row r="56" spans="1:17" ht="72" customHeight="1">
      <c r="A56" s="59">
        <v>812</v>
      </c>
      <c r="B56" s="59" t="s">
        <v>1</v>
      </c>
      <c r="C56" s="55" t="s">
        <v>270</v>
      </c>
      <c r="D56" s="55" t="s">
        <v>208</v>
      </c>
      <c r="E56" s="55"/>
      <c r="F56" s="12" t="s">
        <v>170</v>
      </c>
      <c r="G56" s="63">
        <v>40903</v>
      </c>
      <c r="H56" s="59" t="s">
        <v>7</v>
      </c>
      <c r="I56" s="60" t="s">
        <v>133</v>
      </c>
      <c r="J56" s="65" t="s">
        <v>202</v>
      </c>
      <c r="K56" s="65" t="s">
        <v>112</v>
      </c>
      <c r="L56" s="59">
        <v>241</v>
      </c>
      <c r="M56" s="64">
        <v>8179</v>
      </c>
      <c r="N56" s="64">
        <v>8179</v>
      </c>
      <c r="O56" s="64">
        <f>7982+268.2+366</f>
        <v>8616.2</v>
      </c>
      <c r="P56" s="83">
        <v>8933.1</v>
      </c>
      <c r="Q56" s="59" t="s">
        <v>123</v>
      </c>
    </row>
    <row r="57" spans="1:17" ht="96.75" customHeight="1">
      <c r="A57" s="59"/>
      <c r="B57" s="59"/>
      <c r="C57" s="55"/>
      <c r="D57" s="55" t="s">
        <v>383</v>
      </c>
      <c r="E57" s="55"/>
      <c r="F57" s="12" t="s">
        <v>157</v>
      </c>
      <c r="G57" s="63"/>
      <c r="H57" s="59"/>
      <c r="I57" s="89"/>
      <c r="J57" s="65"/>
      <c r="K57" s="65"/>
      <c r="L57" s="59"/>
      <c r="M57" s="64"/>
      <c r="N57" s="64"/>
      <c r="O57" s="64"/>
      <c r="P57" s="84"/>
      <c r="Q57" s="59"/>
    </row>
    <row r="58" spans="1:17" ht="93" customHeight="1">
      <c r="A58" s="12">
        <v>812</v>
      </c>
      <c r="B58" s="12" t="s">
        <v>11</v>
      </c>
      <c r="C58" s="22" t="s">
        <v>242</v>
      </c>
      <c r="D58" s="75" t="s">
        <v>471</v>
      </c>
      <c r="E58" s="76"/>
      <c r="F58" s="12" t="s">
        <v>160</v>
      </c>
      <c r="G58" s="13">
        <v>44197</v>
      </c>
      <c r="H58" s="13">
        <v>44561</v>
      </c>
      <c r="I58" s="14" t="s">
        <v>98</v>
      </c>
      <c r="J58" s="14" t="s">
        <v>317</v>
      </c>
      <c r="K58" s="14" t="s">
        <v>141</v>
      </c>
      <c r="L58" s="12">
        <v>200</v>
      </c>
      <c r="M58" s="15">
        <v>102978.2</v>
      </c>
      <c r="N58" s="15">
        <v>102956.134</v>
      </c>
      <c r="O58" s="15">
        <f>35010.3-1841.6</f>
        <v>33168.700000000004</v>
      </c>
      <c r="P58" s="15">
        <v>53284.8</v>
      </c>
      <c r="Q58" s="12" t="s">
        <v>119</v>
      </c>
    </row>
    <row r="59" spans="1:17" ht="43.5" customHeight="1">
      <c r="A59" s="52">
        <v>812</v>
      </c>
      <c r="B59" s="52" t="s">
        <v>12</v>
      </c>
      <c r="C59" s="56" t="s">
        <v>418</v>
      </c>
      <c r="D59" s="46" t="s">
        <v>559</v>
      </c>
      <c r="E59" s="47"/>
      <c r="F59" s="52" t="s">
        <v>157</v>
      </c>
      <c r="G59" s="85">
        <v>44197</v>
      </c>
      <c r="H59" s="85">
        <v>45657</v>
      </c>
      <c r="I59" s="23" t="s">
        <v>99</v>
      </c>
      <c r="J59" s="60" t="s">
        <v>419</v>
      </c>
      <c r="K59" s="60" t="s">
        <v>141</v>
      </c>
      <c r="L59" s="20">
        <v>300</v>
      </c>
      <c r="M59" s="29">
        <v>0</v>
      </c>
      <c r="N59" s="29">
        <v>0</v>
      </c>
      <c r="O59" s="29">
        <f>21-6.3</f>
        <v>14.7</v>
      </c>
      <c r="P59" s="29">
        <v>0</v>
      </c>
      <c r="Q59" s="52" t="s">
        <v>119</v>
      </c>
    </row>
    <row r="60" spans="1:17" ht="43.5" customHeight="1">
      <c r="A60" s="54"/>
      <c r="B60" s="54"/>
      <c r="C60" s="58"/>
      <c r="D60" s="50"/>
      <c r="E60" s="51"/>
      <c r="F60" s="54"/>
      <c r="G60" s="87"/>
      <c r="H60" s="87"/>
      <c r="I60" s="23" t="s">
        <v>128</v>
      </c>
      <c r="J60" s="62"/>
      <c r="K60" s="62"/>
      <c r="L60" s="20" t="s">
        <v>114</v>
      </c>
      <c r="M60" s="29">
        <v>0</v>
      </c>
      <c r="N60" s="29">
        <v>0</v>
      </c>
      <c r="O60" s="29">
        <v>52</v>
      </c>
      <c r="P60" s="29">
        <v>0</v>
      </c>
      <c r="Q60" s="54"/>
    </row>
    <row r="61" spans="1:17" ht="55.5" customHeight="1">
      <c r="A61" s="20">
        <v>812</v>
      </c>
      <c r="B61" s="20" t="s">
        <v>345</v>
      </c>
      <c r="C61" s="25" t="s">
        <v>420</v>
      </c>
      <c r="D61" s="71" t="s">
        <v>559</v>
      </c>
      <c r="E61" s="72"/>
      <c r="F61" s="20" t="s">
        <v>157</v>
      </c>
      <c r="G61" s="19">
        <v>44197</v>
      </c>
      <c r="H61" s="19">
        <v>45657</v>
      </c>
      <c r="I61" s="23" t="s">
        <v>99</v>
      </c>
      <c r="J61" s="23" t="s">
        <v>421</v>
      </c>
      <c r="K61" s="23" t="s">
        <v>141</v>
      </c>
      <c r="L61" s="20">
        <v>300</v>
      </c>
      <c r="M61" s="29">
        <v>0</v>
      </c>
      <c r="N61" s="29">
        <v>0</v>
      </c>
      <c r="O61" s="29">
        <f>21-6.3</f>
        <v>14.7</v>
      </c>
      <c r="P61" s="29">
        <v>0</v>
      </c>
      <c r="Q61" s="20" t="s">
        <v>119</v>
      </c>
    </row>
    <row r="62" spans="1:17" ht="54" customHeight="1">
      <c r="A62" s="20">
        <v>812</v>
      </c>
      <c r="B62" s="20" t="s">
        <v>12</v>
      </c>
      <c r="C62" s="25" t="s">
        <v>628</v>
      </c>
      <c r="D62" s="46" t="s">
        <v>559</v>
      </c>
      <c r="E62" s="47"/>
      <c r="F62" s="20" t="s">
        <v>157</v>
      </c>
      <c r="G62" s="19">
        <v>44197</v>
      </c>
      <c r="H62" s="19">
        <v>45657</v>
      </c>
      <c r="I62" s="23" t="s">
        <v>99</v>
      </c>
      <c r="J62" s="23" t="s">
        <v>627</v>
      </c>
      <c r="K62" s="23" t="s">
        <v>141</v>
      </c>
      <c r="L62" s="20">
        <v>300</v>
      </c>
      <c r="M62" s="29">
        <v>0</v>
      </c>
      <c r="N62" s="29">
        <v>0</v>
      </c>
      <c r="O62" s="29">
        <v>0</v>
      </c>
      <c r="P62" s="29">
        <v>15.3</v>
      </c>
      <c r="Q62" s="20" t="s">
        <v>119</v>
      </c>
    </row>
    <row r="63" spans="1:17" ht="55.5" customHeight="1">
      <c r="A63" s="20">
        <v>812</v>
      </c>
      <c r="B63" s="20" t="s">
        <v>345</v>
      </c>
      <c r="C63" s="25" t="s">
        <v>420</v>
      </c>
      <c r="D63" s="71" t="s">
        <v>559</v>
      </c>
      <c r="E63" s="72"/>
      <c r="F63" s="20" t="s">
        <v>157</v>
      </c>
      <c r="G63" s="19">
        <v>44197</v>
      </c>
      <c r="H63" s="19">
        <v>45657</v>
      </c>
      <c r="I63" s="23" t="s">
        <v>99</v>
      </c>
      <c r="J63" s="23" t="s">
        <v>629</v>
      </c>
      <c r="K63" s="23" t="s">
        <v>141</v>
      </c>
      <c r="L63" s="20">
        <v>300</v>
      </c>
      <c r="M63" s="29">
        <v>0</v>
      </c>
      <c r="N63" s="29">
        <v>0</v>
      </c>
      <c r="O63" s="29">
        <v>0</v>
      </c>
      <c r="P63" s="29">
        <v>15.3</v>
      </c>
      <c r="Q63" s="20" t="s">
        <v>119</v>
      </c>
    </row>
    <row r="64" spans="1:17" ht="56.25" customHeight="1">
      <c r="A64" s="12">
        <v>812</v>
      </c>
      <c r="B64" s="12" t="s">
        <v>388</v>
      </c>
      <c r="C64" s="22" t="s">
        <v>201</v>
      </c>
      <c r="D64" s="55" t="s">
        <v>459</v>
      </c>
      <c r="E64" s="112"/>
      <c r="F64" s="37" t="s">
        <v>170</v>
      </c>
      <c r="G64" s="13">
        <v>43843</v>
      </c>
      <c r="H64" s="12" t="s">
        <v>7</v>
      </c>
      <c r="I64" s="14" t="s">
        <v>99</v>
      </c>
      <c r="J64" s="14" t="s">
        <v>292</v>
      </c>
      <c r="K64" s="14" t="s">
        <v>141</v>
      </c>
      <c r="L64" s="12">
        <v>200</v>
      </c>
      <c r="M64" s="15">
        <v>336.3</v>
      </c>
      <c r="N64" s="15">
        <v>336.283</v>
      </c>
      <c r="O64" s="15">
        <v>353</v>
      </c>
      <c r="P64" s="15">
        <v>353</v>
      </c>
      <c r="Q64" s="12" t="s">
        <v>123</v>
      </c>
    </row>
    <row r="65" spans="1:17" ht="25.5" customHeight="1">
      <c r="A65" s="59">
        <v>812</v>
      </c>
      <c r="B65" s="59" t="s">
        <v>13</v>
      </c>
      <c r="C65" s="55" t="s">
        <v>116</v>
      </c>
      <c r="D65" s="45" t="s">
        <v>472</v>
      </c>
      <c r="E65" s="45"/>
      <c r="F65" s="59" t="s">
        <v>156</v>
      </c>
      <c r="G65" s="59" t="s">
        <v>6</v>
      </c>
      <c r="H65" s="59" t="s">
        <v>7</v>
      </c>
      <c r="I65" s="65" t="s">
        <v>99</v>
      </c>
      <c r="J65" s="65" t="s">
        <v>193</v>
      </c>
      <c r="K65" s="14" t="s">
        <v>145</v>
      </c>
      <c r="L65" s="12">
        <v>200</v>
      </c>
      <c r="M65" s="15">
        <f>13660.561+0.84+3970.685</f>
        <v>17632.086</v>
      </c>
      <c r="N65" s="15">
        <f>13652.205+0.21+3940.273</f>
        <v>17592.688</v>
      </c>
      <c r="O65" s="15">
        <f>13514+125.9+757.7+2239.3</f>
        <v>16636.9</v>
      </c>
      <c r="P65" s="15">
        <v>17351.9</v>
      </c>
      <c r="Q65" s="59" t="s">
        <v>123</v>
      </c>
    </row>
    <row r="66" spans="1:17" ht="25.5" customHeight="1">
      <c r="A66" s="59"/>
      <c r="B66" s="59"/>
      <c r="C66" s="55"/>
      <c r="D66" s="45"/>
      <c r="E66" s="45"/>
      <c r="F66" s="59"/>
      <c r="G66" s="59"/>
      <c r="H66" s="59"/>
      <c r="I66" s="65"/>
      <c r="J66" s="65"/>
      <c r="K66" s="14" t="s">
        <v>141</v>
      </c>
      <c r="L66" s="12" t="s">
        <v>114</v>
      </c>
      <c r="M66" s="15">
        <f>1064.525+116.475</f>
        <v>1181</v>
      </c>
      <c r="N66" s="15">
        <f>1048.335+105.102</f>
        <v>1153.4370000000001</v>
      </c>
      <c r="O66" s="15">
        <f>1843.6-19.2</f>
        <v>1824.3999999999999</v>
      </c>
      <c r="P66" s="15">
        <v>1906.5</v>
      </c>
      <c r="Q66" s="59"/>
    </row>
    <row r="67" spans="1:17" ht="32.25" customHeight="1">
      <c r="A67" s="59"/>
      <c r="B67" s="59"/>
      <c r="C67" s="55"/>
      <c r="D67" s="45"/>
      <c r="E67" s="45"/>
      <c r="F67" s="59"/>
      <c r="G67" s="59"/>
      <c r="H67" s="59"/>
      <c r="I67" s="65"/>
      <c r="J67" s="65"/>
      <c r="K67" s="14" t="s">
        <v>146</v>
      </c>
      <c r="L67" s="12">
        <v>200</v>
      </c>
      <c r="M67" s="15">
        <f>2.299+0.1</f>
        <v>2.399</v>
      </c>
      <c r="N67" s="15">
        <f>0.1</f>
        <v>0.1</v>
      </c>
      <c r="O67" s="15">
        <v>2.4</v>
      </c>
      <c r="P67" s="15">
        <f>O67</f>
        <v>2.4</v>
      </c>
      <c r="Q67" s="59"/>
    </row>
    <row r="68" spans="1:17" ht="43.5" customHeight="1">
      <c r="A68" s="59">
        <v>812</v>
      </c>
      <c r="B68" s="59" t="s">
        <v>26</v>
      </c>
      <c r="C68" s="55" t="s">
        <v>113</v>
      </c>
      <c r="D68" s="45" t="s">
        <v>8</v>
      </c>
      <c r="E68" s="45"/>
      <c r="F68" s="59" t="s">
        <v>158</v>
      </c>
      <c r="G68" s="63">
        <v>40365</v>
      </c>
      <c r="H68" s="59" t="s">
        <v>7</v>
      </c>
      <c r="I68" s="65" t="s">
        <v>99</v>
      </c>
      <c r="J68" s="65" t="s">
        <v>209</v>
      </c>
      <c r="K68" s="14" t="s">
        <v>145</v>
      </c>
      <c r="L68" s="12">
        <v>200</v>
      </c>
      <c r="M68" s="15">
        <f>57940.1+66.5+15748.8</f>
        <v>73755.4</v>
      </c>
      <c r="N68" s="15">
        <f>57938.058+66.42+14864.483</f>
        <v>72868.961</v>
      </c>
      <c r="O68" s="15">
        <f>73344.9+857.9+5050.1-1392.5</f>
        <v>77860.4</v>
      </c>
      <c r="P68" s="15">
        <v>82571.6</v>
      </c>
      <c r="Q68" s="59" t="s">
        <v>123</v>
      </c>
    </row>
    <row r="69" spans="1:17" ht="43.5" customHeight="1">
      <c r="A69" s="59"/>
      <c r="B69" s="59"/>
      <c r="C69" s="55"/>
      <c r="D69" s="45"/>
      <c r="E69" s="45"/>
      <c r="F69" s="59"/>
      <c r="G69" s="59"/>
      <c r="H69" s="59"/>
      <c r="I69" s="65"/>
      <c r="J69" s="65"/>
      <c r="K69" s="14" t="s">
        <v>141</v>
      </c>
      <c r="L69" s="12" t="s">
        <v>114</v>
      </c>
      <c r="M69" s="15">
        <f>1556.1+18345.4</f>
        <v>19901.5</v>
      </c>
      <c r="N69" s="15">
        <f>1555.091+18307.74</f>
        <v>19862.831000000002</v>
      </c>
      <c r="O69" s="15">
        <v>17727.1</v>
      </c>
      <c r="P69" s="15">
        <v>18634.4</v>
      </c>
      <c r="Q69" s="59"/>
    </row>
    <row r="70" spans="1:17" ht="43.5" customHeight="1">
      <c r="A70" s="59"/>
      <c r="B70" s="59"/>
      <c r="C70" s="55"/>
      <c r="D70" s="45"/>
      <c r="E70" s="45"/>
      <c r="F70" s="59"/>
      <c r="G70" s="59"/>
      <c r="H70" s="59"/>
      <c r="I70" s="65"/>
      <c r="J70" s="65"/>
      <c r="K70" s="14" t="s">
        <v>147</v>
      </c>
      <c r="L70" s="12">
        <v>200</v>
      </c>
      <c r="M70" s="15">
        <v>87.1</v>
      </c>
      <c r="N70" s="15">
        <v>86.7</v>
      </c>
      <c r="O70" s="15">
        <v>0</v>
      </c>
      <c r="P70" s="15">
        <f>O70*1.04</f>
        <v>0</v>
      </c>
      <c r="Q70" s="59"/>
    </row>
    <row r="71" spans="1:17" ht="82.5" customHeight="1">
      <c r="A71" s="59"/>
      <c r="B71" s="59"/>
      <c r="C71" s="55"/>
      <c r="D71" s="45"/>
      <c r="E71" s="45"/>
      <c r="F71" s="59"/>
      <c r="G71" s="59"/>
      <c r="H71" s="59"/>
      <c r="I71" s="65"/>
      <c r="J71" s="59"/>
      <c r="K71" s="14" t="s">
        <v>146</v>
      </c>
      <c r="L71" s="12">
        <v>200</v>
      </c>
      <c r="M71" s="15">
        <f>131.7+56+193.9</f>
        <v>381.6</v>
      </c>
      <c r="N71" s="15">
        <f>131.639+49.415+193.716</f>
        <v>374.77</v>
      </c>
      <c r="O71" s="15">
        <v>494</v>
      </c>
      <c r="P71" s="15">
        <v>494</v>
      </c>
      <c r="Q71" s="59"/>
    </row>
    <row r="72" spans="1:17" ht="83.25" customHeight="1">
      <c r="A72" s="12">
        <v>812</v>
      </c>
      <c r="B72" s="12" t="s">
        <v>501</v>
      </c>
      <c r="C72" s="22" t="s">
        <v>502</v>
      </c>
      <c r="D72" s="55" t="s">
        <v>203</v>
      </c>
      <c r="E72" s="55"/>
      <c r="F72" s="12" t="s">
        <v>187</v>
      </c>
      <c r="G72" s="13" t="s">
        <v>503</v>
      </c>
      <c r="H72" s="13" t="s">
        <v>504</v>
      </c>
      <c r="I72" s="14" t="s">
        <v>99</v>
      </c>
      <c r="J72" s="14" t="s">
        <v>505</v>
      </c>
      <c r="K72" s="14" t="s">
        <v>112</v>
      </c>
      <c r="L72" s="12">
        <v>241</v>
      </c>
      <c r="M72" s="15">
        <v>0</v>
      </c>
      <c r="N72" s="15">
        <v>0</v>
      </c>
      <c r="O72" s="15">
        <f>11155.5-11056.9</f>
        <v>98.60000000000036</v>
      </c>
      <c r="P72" s="15">
        <v>0</v>
      </c>
      <c r="Q72" s="12" t="s">
        <v>123</v>
      </c>
    </row>
    <row r="73" spans="1:17" ht="67.5" customHeight="1">
      <c r="A73" s="12">
        <v>812</v>
      </c>
      <c r="B73" s="12" t="s">
        <v>449</v>
      </c>
      <c r="C73" s="16" t="s">
        <v>402</v>
      </c>
      <c r="D73" s="45" t="s">
        <v>527</v>
      </c>
      <c r="E73" s="45"/>
      <c r="F73" s="12" t="s">
        <v>157</v>
      </c>
      <c r="G73" s="13">
        <v>44197</v>
      </c>
      <c r="H73" s="13">
        <v>45657</v>
      </c>
      <c r="I73" s="14" t="s">
        <v>99</v>
      </c>
      <c r="J73" s="12">
        <v>9000112250</v>
      </c>
      <c r="K73" s="14" t="s">
        <v>112</v>
      </c>
      <c r="L73" s="12">
        <v>200</v>
      </c>
      <c r="M73" s="15">
        <v>0</v>
      </c>
      <c r="N73" s="15">
        <v>0</v>
      </c>
      <c r="O73" s="15">
        <v>19.8</v>
      </c>
      <c r="P73" s="15">
        <v>0</v>
      </c>
      <c r="Q73" s="12" t="s">
        <v>119</v>
      </c>
    </row>
    <row r="74" spans="1:17" ht="67.5" customHeight="1">
      <c r="A74" s="12">
        <v>812</v>
      </c>
      <c r="B74" s="12" t="s">
        <v>2</v>
      </c>
      <c r="C74" s="16" t="s">
        <v>403</v>
      </c>
      <c r="D74" s="45" t="s">
        <v>527</v>
      </c>
      <c r="E74" s="45"/>
      <c r="F74" s="12" t="s">
        <v>157</v>
      </c>
      <c r="G74" s="13">
        <v>44197</v>
      </c>
      <c r="H74" s="13">
        <v>45657</v>
      </c>
      <c r="I74" s="14" t="s">
        <v>99</v>
      </c>
      <c r="J74" s="12">
        <v>9000412260</v>
      </c>
      <c r="K74" s="14" t="s">
        <v>112</v>
      </c>
      <c r="L74" s="12">
        <v>200</v>
      </c>
      <c r="M74" s="15">
        <v>0</v>
      </c>
      <c r="N74" s="15">
        <v>0</v>
      </c>
      <c r="O74" s="15">
        <v>38.3</v>
      </c>
      <c r="P74" s="15">
        <v>0</v>
      </c>
      <c r="Q74" s="12" t="s">
        <v>119</v>
      </c>
    </row>
    <row r="75" spans="1:17" ht="67.5" customHeight="1">
      <c r="A75" s="12">
        <v>812</v>
      </c>
      <c r="B75" s="12" t="s">
        <v>449</v>
      </c>
      <c r="C75" s="16" t="s">
        <v>630</v>
      </c>
      <c r="D75" s="45" t="s">
        <v>527</v>
      </c>
      <c r="E75" s="45"/>
      <c r="F75" s="12" t="s">
        <v>157</v>
      </c>
      <c r="G75" s="13">
        <v>44197</v>
      </c>
      <c r="H75" s="13">
        <v>45657</v>
      </c>
      <c r="I75" s="14" t="s">
        <v>99</v>
      </c>
      <c r="J75" s="12">
        <v>9010012250</v>
      </c>
      <c r="K75" s="14" t="s">
        <v>112</v>
      </c>
      <c r="L75" s="12">
        <v>200</v>
      </c>
      <c r="M75" s="15">
        <v>0</v>
      </c>
      <c r="N75" s="15">
        <v>0</v>
      </c>
      <c r="O75" s="15">
        <v>0</v>
      </c>
      <c r="P75" s="15">
        <v>41.2</v>
      </c>
      <c r="Q75" s="12" t="s">
        <v>119</v>
      </c>
    </row>
    <row r="76" spans="1:17" ht="67.5" customHeight="1">
      <c r="A76" s="12">
        <v>812</v>
      </c>
      <c r="B76" s="12" t="s">
        <v>2</v>
      </c>
      <c r="C76" s="16" t="s">
        <v>403</v>
      </c>
      <c r="D76" s="45" t="s">
        <v>527</v>
      </c>
      <c r="E76" s="45"/>
      <c r="F76" s="12" t="s">
        <v>157</v>
      </c>
      <c r="G76" s="13">
        <v>44197</v>
      </c>
      <c r="H76" s="13">
        <v>45657</v>
      </c>
      <c r="I76" s="14" t="s">
        <v>99</v>
      </c>
      <c r="J76" s="12">
        <v>9040012260</v>
      </c>
      <c r="K76" s="14" t="s">
        <v>112</v>
      </c>
      <c r="L76" s="12">
        <v>200</v>
      </c>
      <c r="M76" s="15">
        <v>0</v>
      </c>
      <c r="N76" s="15">
        <v>0</v>
      </c>
      <c r="O76" s="15">
        <v>0</v>
      </c>
      <c r="P76" s="15">
        <v>35.5</v>
      </c>
      <c r="Q76" s="12" t="s">
        <v>119</v>
      </c>
    </row>
    <row r="77" spans="1:17" ht="32.25" customHeight="1">
      <c r="A77" s="52">
        <v>812</v>
      </c>
      <c r="B77" s="52" t="s">
        <v>3</v>
      </c>
      <c r="C77" s="56" t="s">
        <v>422</v>
      </c>
      <c r="D77" s="46" t="s">
        <v>527</v>
      </c>
      <c r="E77" s="47"/>
      <c r="F77" s="52" t="s">
        <v>157</v>
      </c>
      <c r="G77" s="85">
        <v>44197</v>
      </c>
      <c r="H77" s="85">
        <v>45657</v>
      </c>
      <c r="I77" s="60" t="s">
        <v>99</v>
      </c>
      <c r="J77" s="52">
        <v>9000216010</v>
      </c>
      <c r="K77" s="14" t="s">
        <v>141</v>
      </c>
      <c r="L77" s="12">
        <v>300</v>
      </c>
      <c r="M77" s="15">
        <v>0</v>
      </c>
      <c r="N77" s="15">
        <v>0</v>
      </c>
      <c r="O77" s="15">
        <v>9.5</v>
      </c>
      <c r="P77" s="15">
        <v>0</v>
      </c>
      <c r="Q77" s="52" t="s">
        <v>119</v>
      </c>
    </row>
    <row r="78" spans="1:17" ht="32.25" customHeight="1">
      <c r="A78" s="53"/>
      <c r="B78" s="53"/>
      <c r="C78" s="57"/>
      <c r="D78" s="48"/>
      <c r="E78" s="49"/>
      <c r="F78" s="53"/>
      <c r="G78" s="86"/>
      <c r="H78" s="86"/>
      <c r="I78" s="61"/>
      <c r="J78" s="53"/>
      <c r="K78" s="14" t="s">
        <v>147</v>
      </c>
      <c r="L78" s="12">
        <v>200</v>
      </c>
      <c r="M78" s="15">
        <v>0</v>
      </c>
      <c r="N78" s="15">
        <v>0</v>
      </c>
      <c r="O78" s="15">
        <f>150+19.1</f>
        <v>169.1</v>
      </c>
      <c r="P78" s="15">
        <v>0</v>
      </c>
      <c r="Q78" s="53"/>
    </row>
    <row r="79" spans="1:17" ht="32.25" customHeight="1">
      <c r="A79" s="54"/>
      <c r="B79" s="54"/>
      <c r="C79" s="58"/>
      <c r="D79" s="50"/>
      <c r="E79" s="51"/>
      <c r="F79" s="54"/>
      <c r="G79" s="87"/>
      <c r="H79" s="87"/>
      <c r="I79" s="62"/>
      <c r="J79" s="54"/>
      <c r="K79" s="14" t="s">
        <v>146</v>
      </c>
      <c r="L79" s="12">
        <v>200</v>
      </c>
      <c r="M79" s="15">
        <v>0</v>
      </c>
      <c r="N79" s="15">
        <v>0</v>
      </c>
      <c r="O79" s="15">
        <f>259.4-19.1</f>
        <v>240.29999999999998</v>
      </c>
      <c r="P79" s="15">
        <v>0</v>
      </c>
      <c r="Q79" s="54"/>
    </row>
    <row r="80" spans="1:17" ht="32.25" customHeight="1">
      <c r="A80" s="52">
        <v>812</v>
      </c>
      <c r="B80" s="52" t="s">
        <v>3</v>
      </c>
      <c r="C80" s="56" t="s">
        <v>422</v>
      </c>
      <c r="D80" s="46" t="s">
        <v>527</v>
      </c>
      <c r="E80" s="47"/>
      <c r="F80" s="52" t="s">
        <v>157</v>
      </c>
      <c r="G80" s="85">
        <v>44197</v>
      </c>
      <c r="H80" s="85">
        <v>45657</v>
      </c>
      <c r="I80" s="60" t="s">
        <v>99</v>
      </c>
      <c r="J80" s="52">
        <v>9020016010</v>
      </c>
      <c r="K80" s="14" t="s">
        <v>141</v>
      </c>
      <c r="L80" s="12">
        <v>300</v>
      </c>
      <c r="M80" s="15">
        <v>0</v>
      </c>
      <c r="N80" s="15">
        <v>0</v>
      </c>
      <c r="O80" s="15">
        <v>0</v>
      </c>
      <c r="P80" s="15">
        <v>9.5</v>
      </c>
      <c r="Q80" s="52" t="s">
        <v>119</v>
      </c>
    </row>
    <row r="81" spans="1:17" ht="32.25" customHeight="1">
      <c r="A81" s="53"/>
      <c r="B81" s="53"/>
      <c r="C81" s="57"/>
      <c r="D81" s="48"/>
      <c r="E81" s="49"/>
      <c r="F81" s="53"/>
      <c r="G81" s="86"/>
      <c r="H81" s="86"/>
      <c r="I81" s="61"/>
      <c r="J81" s="53"/>
      <c r="K81" s="14" t="s">
        <v>147</v>
      </c>
      <c r="L81" s="12">
        <v>200</v>
      </c>
      <c r="M81" s="15">
        <v>0</v>
      </c>
      <c r="N81" s="15">
        <v>0</v>
      </c>
      <c r="O81" s="15">
        <v>0</v>
      </c>
      <c r="P81" s="15">
        <v>230.7</v>
      </c>
      <c r="Q81" s="53"/>
    </row>
    <row r="82" spans="1:17" ht="32.25" customHeight="1">
      <c r="A82" s="54"/>
      <c r="B82" s="54"/>
      <c r="C82" s="58"/>
      <c r="D82" s="50"/>
      <c r="E82" s="51"/>
      <c r="F82" s="54"/>
      <c r="G82" s="87"/>
      <c r="H82" s="87"/>
      <c r="I82" s="62"/>
      <c r="J82" s="54"/>
      <c r="K82" s="14" t="s">
        <v>146</v>
      </c>
      <c r="L82" s="12">
        <v>200</v>
      </c>
      <c r="M82" s="15">
        <v>0</v>
      </c>
      <c r="N82" s="15">
        <v>0</v>
      </c>
      <c r="O82" s="15">
        <v>0</v>
      </c>
      <c r="P82" s="15">
        <v>160.1</v>
      </c>
      <c r="Q82" s="54"/>
    </row>
    <row r="83" spans="1:17" ht="76.5" customHeight="1">
      <c r="A83" s="12">
        <v>812</v>
      </c>
      <c r="B83" s="12" t="s">
        <v>9</v>
      </c>
      <c r="C83" s="22" t="s">
        <v>404</v>
      </c>
      <c r="D83" s="69" t="s">
        <v>405</v>
      </c>
      <c r="E83" s="128"/>
      <c r="F83" s="37" t="s">
        <v>406</v>
      </c>
      <c r="G83" s="13">
        <v>43964</v>
      </c>
      <c r="H83" s="13" t="s">
        <v>7</v>
      </c>
      <c r="I83" s="14" t="s">
        <v>99</v>
      </c>
      <c r="J83" s="14" t="s">
        <v>202</v>
      </c>
      <c r="K83" s="14" t="s">
        <v>112</v>
      </c>
      <c r="L83" s="12">
        <v>241</v>
      </c>
      <c r="M83" s="15">
        <v>8735.806</v>
      </c>
      <c r="N83" s="15">
        <v>8735.806</v>
      </c>
      <c r="O83" s="15">
        <v>13073</v>
      </c>
      <c r="P83" s="15">
        <v>13211.3</v>
      </c>
      <c r="Q83" s="12" t="s">
        <v>123</v>
      </c>
    </row>
    <row r="84" spans="1:17" ht="76.5" customHeight="1">
      <c r="A84" s="12">
        <v>812</v>
      </c>
      <c r="B84" s="12" t="s">
        <v>536</v>
      </c>
      <c r="C84" s="22" t="s">
        <v>528</v>
      </c>
      <c r="D84" s="69" t="s">
        <v>529</v>
      </c>
      <c r="E84" s="128"/>
      <c r="F84" s="37" t="s">
        <v>530</v>
      </c>
      <c r="G84" s="13" t="s">
        <v>531</v>
      </c>
      <c r="H84" s="13">
        <v>44561</v>
      </c>
      <c r="I84" s="14" t="s">
        <v>99</v>
      </c>
      <c r="J84" s="14" t="s">
        <v>532</v>
      </c>
      <c r="K84" s="14" t="s">
        <v>146</v>
      </c>
      <c r="L84" s="12">
        <v>242</v>
      </c>
      <c r="M84" s="15">
        <v>9379.2</v>
      </c>
      <c r="N84" s="15">
        <v>9379.2</v>
      </c>
      <c r="O84" s="15">
        <f>1994.1+998.2+5300</f>
        <v>8292.3</v>
      </c>
      <c r="P84" s="15">
        <v>0</v>
      </c>
      <c r="Q84" s="12" t="s">
        <v>123</v>
      </c>
    </row>
    <row r="85" spans="1:17" ht="66" customHeight="1">
      <c r="A85" s="12">
        <v>812</v>
      </c>
      <c r="B85" s="12" t="s">
        <v>552</v>
      </c>
      <c r="C85" s="22" t="s">
        <v>553</v>
      </c>
      <c r="D85" s="101" t="s">
        <v>554</v>
      </c>
      <c r="E85" s="102"/>
      <c r="F85" s="12" t="s">
        <v>555</v>
      </c>
      <c r="G85" s="35">
        <v>44312</v>
      </c>
      <c r="H85" s="13">
        <v>44561</v>
      </c>
      <c r="I85" s="14" t="s">
        <v>99</v>
      </c>
      <c r="J85" s="12">
        <v>9900014050</v>
      </c>
      <c r="K85" s="14" t="s">
        <v>146</v>
      </c>
      <c r="L85" s="12">
        <v>242</v>
      </c>
      <c r="M85" s="15">
        <v>0</v>
      </c>
      <c r="N85" s="15">
        <v>0</v>
      </c>
      <c r="O85" s="15">
        <v>3324.8</v>
      </c>
      <c r="P85" s="15">
        <v>0</v>
      </c>
      <c r="Q85" s="12" t="s">
        <v>123</v>
      </c>
    </row>
    <row r="86" spans="1:17" ht="76.5" customHeight="1">
      <c r="A86" s="12">
        <v>812</v>
      </c>
      <c r="B86" s="12" t="s">
        <v>14</v>
      </c>
      <c r="C86" s="22" t="s">
        <v>423</v>
      </c>
      <c r="D86" s="69" t="s">
        <v>560</v>
      </c>
      <c r="E86" s="128"/>
      <c r="F86" s="37" t="s">
        <v>384</v>
      </c>
      <c r="G86" s="13">
        <v>44197</v>
      </c>
      <c r="H86" s="13">
        <v>44561</v>
      </c>
      <c r="I86" s="14" t="s">
        <v>99</v>
      </c>
      <c r="J86" s="14" t="s">
        <v>424</v>
      </c>
      <c r="K86" s="14" t="s">
        <v>141</v>
      </c>
      <c r="L86" s="12">
        <v>200</v>
      </c>
      <c r="M86" s="15">
        <v>709.1</v>
      </c>
      <c r="N86" s="15">
        <v>686.722</v>
      </c>
      <c r="O86" s="15">
        <f>30830.6+7469.2-34465.3+2923.4</f>
        <v>6757.899999999992</v>
      </c>
      <c r="P86" s="15">
        <v>35437.5</v>
      </c>
      <c r="Q86" s="12" t="s">
        <v>119</v>
      </c>
    </row>
    <row r="87" spans="1:17" ht="51" customHeight="1">
      <c r="A87" s="12">
        <v>812</v>
      </c>
      <c r="B87" s="12" t="s">
        <v>126</v>
      </c>
      <c r="C87" s="22" t="s">
        <v>475</v>
      </c>
      <c r="D87" s="69" t="s">
        <v>473</v>
      </c>
      <c r="E87" s="128"/>
      <c r="F87" s="37" t="s">
        <v>474</v>
      </c>
      <c r="G87" s="13">
        <v>41306</v>
      </c>
      <c r="H87" s="13" t="s">
        <v>7</v>
      </c>
      <c r="I87" s="14" t="s">
        <v>99</v>
      </c>
      <c r="J87" s="14" t="s">
        <v>425</v>
      </c>
      <c r="K87" s="14" t="s">
        <v>141</v>
      </c>
      <c r="L87" s="12">
        <v>200</v>
      </c>
      <c r="M87" s="15">
        <v>0</v>
      </c>
      <c r="N87" s="15">
        <v>0</v>
      </c>
      <c r="O87" s="15">
        <f>6200-140.3</f>
        <v>6059.7</v>
      </c>
      <c r="P87" s="15">
        <v>6200</v>
      </c>
      <c r="Q87" s="12" t="s">
        <v>119</v>
      </c>
    </row>
    <row r="88" spans="1:17" ht="27" customHeight="1">
      <c r="A88" s="59">
        <v>812</v>
      </c>
      <c r="B88" s="59" t="s">
        <v>24</v>
      </c>
      <c r="C88" s="55" t="s">
        <v>25</v>
      </c>
      <c r="D88" s="55" t="s">
        <v>161</v>
      </c>
      <c r="E88" s="55"/>
      <c r="F88" s="12" t="s">
        <v>162</v>
      </c>
      <c r="G88" s="63">
        <v>34700</v>
      </c>
      <c r="H88" s="59" t="s">
        <v>7</v>
      </c>
      <c r="I88" s="65" t="s">
        <v>100</v>
      </c>
      <c r="J88" s="52">
        <v>2000613050</v>
      </c>
      <c r="K88" s="65" t="s">
        <v>146</v>
      </c>
      <c r="L88" s="59">
        <v>242</v>
      </c>
      <c r="M88" s="64">
        <v>118.2</v>
      </c>
      <c r="N88" s="64">
        <v>118.088</v>
      </c>
      <c r="O88" s="64">
        <v>437</v>
      </c>
      <c r="P88" s="64">
        <v>271</v>
      </c>
      <c r="Q88" s="59" t="s">
        <v>123</v>
      </c>
    </row>
    <row r="89" spans="1:21" ht="69.75" customHeight="1">
      <c r="A89" s="59"/>
      <c r="B89" s="59"/>
      <c r="C89" s="55"/>
      <c r="D89" s="55" t="s">
        <v>210</v>
      </c>
      <c r="E89" s="55"/>
      <c r="F89" s="12" t="s">
        <v>157</v>
      </c>
      <c r="G89" s="59"/>
      <c r="H89" s="59"/>
      <c r="I89" s="59"/>
      <c r="J89" s="54"/>
      <c r="K89" s="59"/>
      <c r="L89" s="59"/>
      <c r="M89" s="64"/>
      <c r="N89" s="64"/>
      <c r="O89" s="64"/>
      <c r="P89" s="64"/>
      <c r="Q89" s="59"/>
      <c r="T89" s="1" t="s">
        <v>631</v>
      </c>
      <c r="U89" s="44">
        <f>P87+P86+P83+P82+P81+P80+P76+P75+P71+P69+P68+P67+P66+P65+P64+P63+P62+P58+P56+P54+P53+P52+P51+P49+P48+P95</f>
        <v>281292</v>
      </c>
    </row>
    <row r="90" spans="1:21" ht="64.5" customHeight="1">
      <c r="A90" s="20">
        <v>812</v>
      </c>
      <c r="B90" s="20" t="s">
        <v>389</v>
      </c>
      <c r="C90" s="25" t="s">
        <v>476</v>
      </c>
      <c r="D90" s="46" t="s">
        <v>471</v>
      </c>
      <c r="E90" s="47"/>
      <c r="F90" s="20" t="s">
        <v>160</v>
      </c>
      <c r="G90" s="19">
        <v>44197</v>
      </c>
      <c r="H90" s="19">
        <v>44561</v>
      </c>
      <c r="I90" s="23" t="s">
        <v>100</v>
      </c>
      <c r="J90" s="23" t="s">
        <v>319</v>
      </c>
      <c r="K90" s="14" t="s">
        <v>141</v>
      </c>
      <c r="L90" s="14" t="s">
        <v>141</v>
      </c>
      <c r="M90" s="15">
        <v>15922.2</v>
      </c>
      <c r="N90" s="15">
        <v>15922.03</v>
      </c>
      <c r="O90" s="15">
        <f>24165.3-106.4+106.4-2363.8</f>
        <v>21801.5</v>
      </c>
      <c r="P90" s="15">
        <v>81708</v>
      </c>
      <c r="Q90" s="20" t="s">
        <v>119</v>
      </c>
      <c r="T90" s="1" t="s">
        <v>635</v>
      </c>
      <c r="U90" s="44">
        <f>P88+P90+P92+P94+P96+P97+P98</f>
        <v>752883.7</v>
      </c>
    </row>
    <row r="91" spans="1:17" ht="130.5" customHeight="1">
      <c r="A91" s="12">
        <v>812</v>
      </c>
      <c r="B91" s="20" t="s">
        <v>537</v>
      </c>
      <c r="C91" s="22" t="s">
        <v>533</v>
      </c>
      <c r="D91" s="69" t="s">
        <v>534</v>
      </c>
      <c r="E91" s="70"/>
      <c r="F91" s="12" t="s">
        <v>535</v>
      </c>
      <c r="G91" s="13">
        <v>44197</v>
      </c>
      <c r="H91" s="13">
        <v>44561</v>
      </c>
      <c r="I91" s="14" t="s">
        <v>100</v>
      </c>
      <c r="J91" s="12">
        <v>9900013250</v>
      </c>
      <c r="K91" s="12">
        <v>800</v>
      </c>
      <c r="L91" s="12">
        <v>242</v>
      </c>
      <c r="M91" s="15">
        <v>0</v>
      </c>
      <c r="N91" s="15">
        <v>0</v>
      </c>
      <c r="O91" s="15">
        <v>30000</v>
      </c>
      <c r="P91" s="15">
        <v>0</v>
      </c>
      <c r="Q91" s="12" t="s">
        <v>119</v>
      </c>
    </row>
    <row r="92" spans="1:17" ht="51" customHeight="1">
      <c r="A92" s="52">
        <v>812</v>
      </c>
      <c r="B92" s="52" t="s">
        <v>390</v>
      </c>
      <c r="C92" s="56" t="s">
        <v>407</v>
      </c>
      <c r="D92" s="69" t="s">
        <v>165</v>
      </c>
      <c r="E92" s="70"/>
      <c r="F92" s="12" t="s">
        <v>164</v>
      </c>
      <c r="G92" s="85">
        <v>44197</v>
      </c>
      <c r="H92" s="85">
        <v>44561</v>
      </c>
      <c r="I92" s="60" t="s">
        <v>101</v>
      </c>
      <c r="J92" s="52">
        <v>2000913020</v>
      </c>
      <c r="K92" s="60" t="s">
        <v>146</v>
      </c>
      <c r="L92" s="59">
        <v>242</v>
      </c>
      <c r="M92" s="64">
        <v>549471.363</v>
      </c>
      <c r="N92" s="64">
        <v>549471.363</v>
      </c>
      <c r="O92" s="64">
        <v>452212.9</v>
      </c>
      <c r="P92" s="64">
        <v>452213</v>
      </c>
      <c r="Q92" s="59" t="s">
        <v>119</v>
      </c>
    </row>
    <row r="93" spans="1:17" ht="68.25" customHeight="1">
      <c r="A93" s="54"/>
      <c r="B93" s="54"/>
      <c r="C93" s="58"/>
      <c r="D93" s="69" t="s">
        <v>482</v>
      </c>
      <c r="E93" s="70"/>
      <c r="F93" s="12" t="s">
        <v>477</v>
      </c>
      <c r="G93" s="87"/>
      <c r="H93" s="87"/>
      <c r="I93" s="62"/>
      <c r="J93" s="54"/>
      <c r="K93" s="62"/>
      <c r="L93" s="59"/>
      <c r="M93" s="64"/>
      <c r="N93" s="64"/>
      <c r="O93" s="64"/>
      <c r="P93" s="64"/>
      <c r="Q93" s="59"/>
    </row>
    <row r="94" spans="1:17" ht="80.25" customHeight="1">
      <c r="A94" s="12">
        <v>812</v>
      </c>
      <c r="B94" s="12" t="s">
        <v>391</v>
      </c>
      <c r="C94" s="22" t="s">
        <v>115</v>
      </c>
      <c r="D94" s="69" t="s">
        <v>483</v>
      </c>
      <c r="E94" s="70"/>
      <c r="F94" s="12" t="s">
        <v>166</v>
      </c>
      <c r="G94" s="13">
        <v>44197</v>
      </c>
      <c r="H94" s="13">
        <v>44561</v>
      </c>
      <c r="I94" s="14" t="s">
        <v>101</v>
      </c>
      <c r="J94" s="12">
        <v>2000913030</v>
      </c>
      <c r="K94" s="12">
        <v>800</v>
      </c>
      <c r="L94" s="12">
        <v>242</v>
      </c>
      <c r="M94" s="15">
        <v>57198.3</v>
      </c>
      <c r="N94" s="15">
        <v>57198.3</v>
      </c>
      <c r="O94" s="15">
        <v>34785</v>
      </c>
      <c r="P94" s="15">
        <f>O94</f>
        <v>34785</v>
      </c>
      <c r="Q94" s="12" t="s">
        <v>119</v>
      </c>
    </row>
    <row r="95" spans="1:17" ht="55.5" customHeight="1">
      <c r="A95" s="59">
        <v>812</v>
      </c>
      <c r="B95" s="59" t="s">
        <v>15</v>
      </c>
      <c r="C95" s="55" t="s">
        <v>344</v>
      </c>
      <c r="D95" s="55" t="s">
        <v>484</v>
      </c>
      <c r="E95" s="55"/>
      <c r="F95" s="12" t="s">
        <v>167</v>
      </c>
      <c r="G95" s="85">
        <v>44197</v>
      </c>
      <c r="H95" s="85">
        <v>44561</v>
      </c>
      <c r="I95" s="14" t="s">
        <v>98</v>
      </c>
      <c r="J95" s="12">
        <v>2000513040</v>
      </c>
      <c r="K95" s="65" t="s">
        <v>146</v>
      </c>
      <c r="L95" s="59">
        <v>242</v>
      </c>
      <c r="M95" s="15">
        <v>58393.78</v>
      </c>
      <c r="N95" s="15">
        <v>58393.78</v>
      </c>
      <c r="O95" s="15">
        <f>30856+13300+6500</f>
        <v>50656</v>
      </c>
      <c r="P95" s="15">
        <v>30856</v>
      </c>
      <c r="Q95" s="59" t="s">
        <v>119</v>
      </c>
    </row>
    <row r="96" spans="1:17" ht="90.75" customHeight="1">
      <c r="A96" s="59"/>
      <c r="B96" s="59"/>
      <c r="C96" s="55"/>
      <c r="D96" s="55" t="s">
        <v>478</v>
      </c>
      <c r="E96" s="55"/>
      <c r="F96" s="12" t="s">
        <v>243</v>
      </c>
      <c r="G96" s="129"/>
      <c r="H96" s="87"/>
      <c r="I96" s="14" t="s">
        <v>102</v>
      </c>
      <c r="J96" s="12">
        <v>2000413040</v>
      </c>
      <c r="K96" s="65"/>
      <c r="L96" s="59"/>
      <c r="M96" s="15">
        <v>215999.84</v>
      </c>
      <c r="N96" s="15">
        <v>215999.837</v>
      </c>
      <c r="O96" s="15">
        <f>135191+3900-13300+17000</f>
        <v>142791</v>
      </c>
      <c r="P96" s="15">
        <v>135191</v>
      </c>
      <c r="Q96" s="59"/>
    </row>
    <row r="97" spans="1:17" ht="70.5" customHeight="1">
      <c r="A97" s="12">
        <v>812</v>
      </c>
      <c r="B97" s="12" t="s">
        <v>27</v>
      </c>
      <c r="C97" s="22" t="s">
        <v>274</v>
      </c>
      <c r="D97" s="55" t="s">
        <v>561</v>
      </c>
      <c r="E97" s="55"/>
      <c r="F97" s="12" t="s">
        <v>157</v>
      </c>
      <c r="G97" s="13">
        <v>43101</v>
      </c>
      <c r="H97" s="13">
        <v>44926</v>
      </c>
      <c r="I97" s="14" t="s">
        <v>102</v>
      </c>
      <c r="J97" s="12">
        <v>2000413070</v>
      </c>
      <c r="K97" s="12">
        <v>800</v>
      </c>
      <c r="L97" s="12">
        <v>242</v>
      </c>
      <c r="M97" s="15">
        <v>5115.19</v>
      </c>
      <c r="N97" s="15">
        <v>5008.19</v>
      </c>
      <c r="O97" s="15">
        <f>4181+1000</f>
        <v>5181</v>
      </c>
      <c r="P97" s="15">
        <v>4181</v>
      </c>
      <c r="Q97" s="12" t="s">
        <v>119</v>
      </c>
    </row>
    <row r="98" spans="1:17" ht="87" customHeight="1">
      <c r="A98" s="12">
        <v>812</v>
      </c>
      <c r="B98" s="12" t="s">
        <v>28</v>
      </c>
      <c r="C98" s="22" t="s">
        <v>357</v>
      </c>
      <c r="D98" s="46" t="s">
        <v>562</v>
      </c>
      <c r="E98" s="130"/>
      <c r="F98" s="20" t="s">
        <v>384</v>
      </c>
      <c r="G98" s="19">
        <v>44197</v>
      </c>
      <c r="H98" s="19">
        <v>44561</v>
      </c>
      <c r="I98" s="23" t="s">
        <v>102</v>
      </c>
      <c r="J98" s="23" t="s">
        <v>318</v>
      </c>
      <c r="K98" s="14" t="s">
        <v>141</v>
      </c>
      <c r="L98" s="12">
        <v>200</v>
      </c>
      <c r="M98" s="15">
        <v>45619.547</v>
      </c>
      <c r="N98" s="15">
        <v>45619.547</v>
      </c>
      <c r="O98" s="15">
        <f>55565.6-11329.8+4969.8</f>
        <v>49205.600000000006</v>
      </c>
      <c r="P98" s="15">
        <v>44534.7</v>
      </c>
      <c r="Q98" s="12" t="s">
        <v>119</v>
      </c>
    </row>
    <row r="99" spans="1:17" ht="28.5" customHeight="1">
      <c r="A99" s="59">
        <v>812</v>
      </c>
      <c r="B99" s="65" t="s">
        <v>29</v>
      </c>
      <c r="C99" s="55" t="s">
        <v>342</v>
      </c>
      <c r="D99" s="55" t="s">
        <v>338</v>
      </c>
      <c r="E99" s="55"/>
      <c r="F99" s="59" t="s">
        <v>339</v>
      </c>
      <c r="G99" s="63">
        <v>43282</v>
      </c>
      <c r="H99" s="59" t="s">
        <v>7</v>
      </c>
      <c r="I99" s="65" t="s">
        <v>103</v>
      </c>
      <c r="J99" s="65" t="s">
        <v>343</v>
      </c>
      <c r="K99" s="14" t="s">
        <v>145</v>
      </c>
      <c r="L99" s="12">
        <v>200</v>
      </c>
      <c r="M99" s="15">
        <v>326396.95</v>
      </c>
      <c r="N99" s="15">
        <v>325998.985</v>
      </c>
      <c r="O99" s="15">
        <f>374045.3+17.6+18.04+42.8</f>
        <v>374123.73999999993</v>
      </c>
      <c r="P99" s="15">
        <v>383442.99</v>
      </c>
      <c r="Q99" s="59" t="s">
        <v>123</v>
      </c>
    </row>
    <row r="100" spans="1:17" ht="28.5" customHeight="1">
      <c r="A100" s="59"/>
      <c r="B100" s="66"/>
      <c r="C100" s="67"/>
      <c r="D100" s="67"/>
      <c r="E100" s="67"/>
      <c r="F100" s="66"/>
      <c r="G100" s="66"/>
      <c r="H100" s="59"/>
      <c r="I100" s="66"/>
      <c r="J100" s="66"/>
      <c r="K100" s="14" t="s">
        <v>141</v>
      </c>
      <c r="L100" s="12" t="s">
        <v>114</v>
      </c>
      <c r="M100" s="15">
        <v>88011.248</v>
      </c>
      <c r="N100" s="15">
        <v>86471.038</v>
      </c>
      <c r="O100" s="15">
        <f>115892.6+400+150-17.6+300+875.2333-58.28+350-42.8</f>
        <v>117849.1533</v>
      </c>
      <c r="P100" s="15">
        <v>119815.9</v>
      </c>
      <c r="Q100" s="59"/>
    </row>
    <row r="101" spans="1:17" ht="28.5" customHeight="1">
      <c r="A101" s="59"/>
      <c r="B101" s="66"/>
      <c r="C101" s="67"/>
      <c r="D101" s="67"/>
      <c r="E101" s="67"/>
      <c r="F101" s="66"/>
      <c r="G101" s="66"/>
      <c r="H101" s="59"/>
      <c r="I101" s="66"/>
      <c r="J101" s="66"/>
      <c r="K101" s="14" t="s">
        <v>146</v>
      </c>
      <c r="L101" s="12">
        <v>200</v>
      </c>
      <c r="M101" s="15">
        <v>238.25</v>
      </c>
      <c r="N101" s="15">
        <v>116.746</v>
      </c>
      <c r="O101" s="15">
        <f>238.9+113+40.24</f>
        <v>392.14</v>
      </c>
      <c r="P101" s="15">
        <v>204.6</v>
      </c>
      <c r="Q101" s="59"/>
    </row>
    <row r="102" spans="1:17" ht="87" customHeight="1">
      <c r="A102" s="12">
        <v>812</v>
      </c>
      <c r="B102" s="12" t="s">
        <v>556</v>
      </c>
      <c r="C102" s="24" t="s">
        <v>426</v>
      </c>
      <c r="D102" s="46" t="s">
        <v>563</v>
      </c>
      <c r="E102" s="130"/>
      <c r="F102" s="20" t="s">
        <v>384</v>
      </c>
      <c r="G102" s="19">
        <v>44197</v>
      </c>
      <c r="H102" s="19">
        <v>44561</v>
      </c>
      <c r="I102" s="23" t="s">
        <v>103</v>
      </c>
      <c r="J102" s="23" t="s">
        <v>320</v>
      </c>
      <c r="K102" s="14" t="s">
        <v>557</v>
      </c>
      <c r="L102" s="12">
        <v>200</v>
      </c>
      <c r="M102" s="15">
        <v>0</v>
      </c>
      <c r="N102" s="15">
        <v>0</v>
      </c>
      <c r="O102" s="15">
        <v>146.9</v>
      </c>
      <c r="P102" s="15">
        <v>0</v>
      </c>
      <c r="Q102" s="12" t="s">
        <v>119</v>
      </c>
    </row>
    <row r="103" spans="1:17" ht="57.75" customHeight="1">
      <c r="A103" s="12">
        <v>812</v>
      </c>
      <c r="B103" s="14" t="s">
        <v>392</v>
      </c>
      <c r="C103" s="22" t="s">
        <v>359</v>
      </c>
      <c r="D103" s="55" t="s">
        <v>338</v>
      </c>
      <c r="E103" s="55"/>
      <c r="F103" s="12" t="s">
        <v>339</v>
      </c>
      <c r="G103" s="13">
        <v>43282</v>
      </c>
      <c r="H103" s="12" t="s">
        <v>7</v>
      </c>
      <c r="I103" s="14" t="s">
        <v>103</v>
      </c>
      <c r="J103" s="14" t="s">
        <v>360</v>
      </c>
      <c r="K103" s="14" t="s">
        <v>141</v>
      </c>
      <c r="L103" s="12" t="s">
        <v>114</v>
      </c>
      <c r="M103" s="15">
        <v>39769</v>
      </c>
      <c r="N103" s="15">
        <v>37468.377</v>
      </c>
      <c r="O103" s="15">
        <f>62832.97-12832.8</f>
        <v>50000.17</v>
      </c>
      <c r="P103" s="15">
        <v>52658</v>
      </c>
      <c r="Q103" s="12" t="s">
        <v>123</v>
      </c>
    </row>
    <row r="104" spans="1:17" ht="28.5" customHeight="1">
      <c r="A104" s="59">
        <v>812</v>
      </c>
      <c r="B104" s="65" t="s">
        <v>30</v>
      </c>
      <c r="C104" s="56" t="s">
        <v>337</v>
      </c>
      <c r="D104" s="55" t="s">
        <v>338</v>
      </c>
      <c r="E104" s="55"/>
      <c r="F104" s="59" t="s">
        <v>339</v>
      </c>
      <c r="G104" s="63">
        <v>43282</v>
      </c>
      <c r="H104" s="59" t="s">
        <v>7</v>
      </c>
      <c r="I104" s="65" t="s">
        <v>84</v>
      </c>
      <c r="J104" s="65" t="s">
        <v>340</v>
      </c>
      <c r="K104" s="14" t="s">
        <v>145</v>
      </c>
      <c r="L104" s="12">
        <v>200</v>
      </c>
      <c r="M104" s="15">
        <f>14603.79+27.69+4297.5</f>
        <v>18928.980000000003</v>
      </c>
      <c r="N104" s="15">
        <f>14589.262+22.184+4261.386</f>
        <v>18872.832000000002</v>
      </c>
      <c r="O104" s="36">
        <f>21213.61+30</f>
        <v>21243.61</v>
      </c>
      <c r="P104" s="15">
        <v>22186.6</v>
      </c>
      <c r="Q104" s="59" t="s">
        <v>123</v>
      </c>
    </row>
    <row r="105" spans="1:17" ht="28.5" customHeight="1">
      <c r="A105" s="59"/>
      <c r="B105" s="66"/>
      <c r="C105" s="81"/>
      <c r="D105" s="67"/>
      <c r="E105" s="67"/>
      <c r="F105" s="66"/>
      <c r="G105" s="66"/>
      <c r="H105" s="59"/>
      <c r="I105" s="66"/>
      <c r="J105" s="66"/>
      <c r="K105" s="14" t="s">
        <v>141</v>
      </c>
      <c r="L105" s="12" t="s">
        <v>114</v>
      </c>
      <c r="M105" s="15">
        <f>150.92+9197.306</f>
        <v>9348.226</v>
      </c>
      <c r="N105" s="15">
        <f>147.296+8868.317</f>
        <v>9015.613</v>
      </c>
      <c r="O105" s="36">
        <v>9912.73</v>
      </c>
      <c r="P105" s="15">
        <v>13017.38</v>
      </c>
      <c r="Q105" s="59"/>
    </row>
    <row r="106" spans="1:17" ht="28.5" customHeight="1">
      <c r="A106" s="59"/>
      <c r="B106" s="66"/>
      <c r="C106" s="81"/>
      <c r="D106" s="67"/>
      <c r="E106" s="67"/>
      <c r="F106" s="66"/>
      <c r="G106" s="66"/>
      <c r="H106" s="59"/>
      <c r="I106" s="66"/>
      <c r="J106" s="66"/>
      <c r="K106" s="14" t="s">
        <v>147</v>
      </c>
      <c r="L106" s="12">
        <v>200</v>
      </c>
      <c r="M106" s="15">
        <v>526.866</v>
      </c>
      <c r="N106" s="15">
        <v>526.866</v>
      </c>
      <c r="O106" s="15">
        <v>430</v>
      </c>
      <c r="P106" s="15">
        <v>349</v>
      </c>
      <c r="Q106" s="59"/>
    </row>
    <row r="107" spans="1:17" ht="28.5" customHeight="1">
      <c r="A107" s="59"/>
      <c r="B107" s="66"/>
      <c r="C107" s="82"/>
      <c r="D107" s="67"/>
      <c r="E107" s="67"/>
      <c r="F107" s="66"/>
      <c r="G107" s="66"/>
      <c r="H107" s="59"/>
      <c r="I107" s="66"/>
      <c r="J107" s="66"/>
      <c r="K107" s="14" t="s">
        <v>146</v>
      </c>
      <c r="L107" s="12">
        <v>200</v>
      </c>
      <c r="M107" s="15">
        <v>6.2</v>
      </c>
      <c r="N107" s="15">
        <v>0</v>
      </c>
      <c r="O107" s="15">
        <f>0+5</f>
        <v>5</v>
      </c>
      <c r="P107" s="15">
        <v>0</v>
      </c>
      <c r="Q107" s="59"/>
    </row>
    <row r="108" spans="1:17" ht="99.75" customHeight="1">
      <c r="A108" s="59">
        <v>812</v>
      </c>
      <c r="B108" s="59" t="s">
        <v>31</v>
      </c>
      <c r="C108" s="55" t="s">
        <v>346</v>
      </c>
      <c r="D108" s="55" t="s">
        <v>460</v>
      </c>
      <c r="E108" s="55"/>
      <c r="F108" s="12" t="s">
        <v>157</v>
      </c>
      <c r="G108" s="63">
        <v>40544</v>
      </c>
      <c r="H108" s="59" t="s">
        <v>7</v>
      </c>
      <c r="I108" s="65" t="s">
        <v>84</v>
      </c>
      <c r="J108" s="65" t="s">
        <v>293</v>
      </c>
      <c r="K108" s="65" t="s">
        <v>112</v>
      </c>
      <c r="L108" s="59">
        <v>241</v>
      </c>
      <c r="M108" s="64">
        <v>369631.3</v>
      </c>
      <c r="N108" s="64">
        <v>369631.3</v>
      </c>
      <c r="O108" s="64">
        <f>395292.6+4592</f>
        <v>399884.6</v>
      </c>
      <c r="P108" s="64">
        <v>415695</v>
      </c>
      <c r="Q108" s="59" t="s">
        <v>123</v>
      </c>
    </row>
    <row r="109" spans="1:17" ht="51" customHeight="1">
      <c r="A109" s="59"/>
      <c r="B109" s="59"/>
      <c r="C109" s="55"/>
      <c r="D109" s="55" t="s">
        <v>168</v>
      </c>
      <c r="E109" s="55"/>
      <c r="F109" s="12" t="s">
        <v>169</v>
      </c>
      <c r="G109" s="63"/>
      <c r="H109" s="59"/>
      <c r="I109" s="65"/>
      <c r="J109" s="65"/>
      <c r="K109" s="65"/>
      <c r="L109" s="59"/>
      <c r="M109" s="64"/>
      <c r="N109" s="64"/>
      <c r="O109" s="64"/>
      <c r="P109" s="64"/>
      <c r="Q109" s="59"/>
    </row>
    <row r="110" spans="1:17" ht="90.75" customHeight="1">
      <c r="A110" s="20">
        <v>812</v>
      </c>
      <c r="B110" s="20" t="s">
        <v>366</v>
      </c>
      <c r="C110" s="25" t="s">
        <v>426</v>
      </c>
      <c r="D110" s="55" t="s">
        <v>479</v>
      </c>
      <c r="E110" s="55"/>
      <c r="F110" s="12" t="s">
        <v>160</v>
      </c>
      <c r="G110" s="19">
        <v>44197</v>
      </c>
      <c r="H110" s="19">
        <v>44561</v>
      </c>
      <c r="I110" s="23" t="s">
        <v>84</v>
      </c>
      <c r="J110" s="23" t="s">
        <v>320</v>
      </c>
      <c r="K110" s="23" t="s">
        <v>141</v>
      </c>
      <c r="L110" s="20">
        <v>200</v>
      </c>
      <c r="M110" s="29">
        <v>15623</v>
      </c>
      <c r="N110" s="29">
        <v>15622.948</v>
      </c>
      <c r="O110" s="29">
        <f>13145+829.6-3366.3+744.6</f>
        <v>11352.9</v>
      </c>
      <c r="P110" s="29">
        <v>0</v>
      </c>
      <c r="Q110" s="20" t="s">
        <v>119</v>
      </c>
    </row>
    <row r="111" spans="1:17" ht="87" customHeight="1">
      <c r="A111" s="59">
        <v>812</v>
      </c>
      <c r="B111" s="59" t="s">
        <v>32</v>
      </c>
      <c r="C111" s="55" t="s">
        <v>313</v>
      </c>
      <c r="D111" s="55" t="s">
        <v>203</v>
      </c>
      <c r="E111" s="55"/>
      <c r="F111" s="12" t="s">
        <v>187</v>
      </c>
      <c r="G111" s="63">
        <v>44197</v>
      </c>
      <c r="H111" s="63">
        <v>44561</v>
      </c>
      <c r="I111" s="65" t="s">
        <v>84</v>
      </c>
      <c r="J111" s="65" t="s">
        <v>331</v>
      </c>
      <c r="K111" s="65" t="s">
        <v>112</v>
      </c>
      <c r="L111" s="59">
        <v>241</v>
      </c>
      <c r="M111" s="64">
        <v>1750.641</v>
      </c>
      <c r="N111" s="64">
        <v>1750.641</v>
      </c>
      <c r="O111" s="64">
        <f>2187.97513-14.175</f>
        <v>2173.8001299999996</v>
      </c>
      <c r="P111" s="64">
        <v>2188</v>
      </c>
      <c r="Q111" s="59" t="s">
        <v>123</v>
      </c>
    </row>
    <row r="112" spans="1:17" ht="58.5" customHeight="1">
      <c r="A112" s="59"/>
      <c r="B112" s="59"/>
      <c r="C112" s="55"/>
      <c r="D112" s="55" t="s">
        <v>168</v>
      </c>
      <c r="E112" s="55"/>
      <c r="F112" s="12" t="s">
        <v>169</v>
      </c>
      <c r="G112" s="63"/>
      <c r="H112" s="59"/>
      <c r="I112" s="65"/>
      <c r="J112" s="65"/>
      <c r="K112" s="65"/>
      <c r="L112" s="59"/>
      <c r="M112" s="64"/>
      <c r="N112" s="64"/>
      <c r="O112" s="64"/>
      <c r="P112" s="64"/>
      <c r="Q112" s="59"/>
    </row>
    <row r="113" spans="1:17" ht="63.75" customHeight="1">
      <c r="A113" s="59">
        <v>812</v>
      </c>
      <c r="B113" s="59" t="s">
        <v>487</v>
      </c>
      <c r="C113" s="77" t="s">
        <v>488</v>
      </c>
      <c r="D113" s="71" t="s">
        <v>525</v>
      </c>
      <c r="E113" s="72"/>
      <c r="F113" s="59" t="s">
        <v>489</v>
      </c>
      <c r="G113" s="63">
        <v>44197</v>
      </c>
      <c r="H113" s="63">
        <v>44561</v>
      </c>
      <c r="I113" s="60" t="s">
        <v>84</v>
      </c>
      <c r="J113" s="60" t="s">
        <v>490</v>
      </c>
      <c r="K113" s="23" t="s">
        <v>145</v>
      </c>
      <c r="L113" s="12">
        <v>200</v>
      </c>
      <c r="M113" s="15">
        <v>0</v>
      </c>
      <c r="N113" s="15">
        <v>0</v>
      </c>
      <c r="O113" s="15">
        <v>1093.7</v>
      </c>
      <c r="P113" s="15">
        <v>1099.82</v>
      </c>
      <c r="Q113" s="59" t="s">
        <v>119</v>
      </c>
    </row>
    <row r="114" spans="1:17" ht="33" customHeight="1">
      <c r="A114" s="66"/>
      <c r="B114" s="59"/>
      <c r="C114" s="78"/>
      <c r="D114" s="73"/>
      <c r="E114" s="74"/>
      <c r="F114" s="66"/>
      <c r="G114" s="63"/>
      <c r="H114" s="63"/>
      <c r="I114" s="62"/>
      <c r="J114" s="62"/>
      <c r="K114" s="14" t="s">
        <v>112</v>
      </c>
      <c r="L114" s="12">
        <v>200</v>
      </c>
      <c r="M114" s="15">
        <v>0</v>
      </c>
      <c r="N114" s="15">
        <v>0</v>
      </c>
      <c r="O114" s="15">
        <v>18264.4</v>
      </c>
      <c r="P114" s="15">
        <v>18367.8</v>
      </c>
      <c r="Q114" s="59"/>
    </row>
    <row r="115" spans="1:17" ht="33" customHeight="1">
      <c r="A115" s="52">
        <v>812</v>
      </c>
      <c r="B115" s="52" t="s">
        <v>32</v>
      </c>
      <c r="C115" s="56" t="s">
        <v>601</v>
      </c>
      <c r="D115" s="46" t="s">
        <v>609</v>
      </c>
      <c r="E115" s="47"/>
      <c r="F115" s="52" t="s">
        <v>157</v>
      </c>
      <c r="G115" s="85">
        <v>44197</v>
      </c>
      <c r="H115" s="85">
        <v>45657</v>
      </c>
      <c r="I115" s="14" t="s">
        <v>103</v>
      </c>
      <c r="J115" s="60" t="s">
        <v>602</v>
      </c>
      <c r="K115" s="23" t="s">
        <v>141</v>
      </c>
      <c r="L115" s="12">
        <v>200</v>
      </c>
      <c r="M115" s="15">
        <v>0</v>
      </c>
      <c r="N115" s="15">
        <v>0</v>
      </c>
      <c r="O115" s="15">
        <v>0</v>
      </c>
      <c r="P115" s="15">
        <v>26206.336</v>
      </c>
      <c r="Q115" s="52" t="s">
        <v>119</v>
      </c>
    </row>
    <row r="116" spans="1:17" ht="33" customHeight="1">
      <c r="A116" s="53"/>
      <c r="B116" s="53"/>
      <c r="C116" s="57"/>
      <c r="D116" s="48"/>
      <c r="E116" s="49"/>
      <c r="F116" s="53"/>
      <c r="G116" s="86"/>
      <c r="H116" s="86"/>
      <c r="I116" s="14" t="s">
        <v>84</v>
      </c>
      <c r="J116" s="61"/>
      <c r="K116" s="23" t="s">
        <v>141</v>
      </c>
      <c r="L116" s="12">
        <v>200</v>
      </c>
      <c r="M116" s="15">
        <v>0</v>
      </c>
      <c r="N116" s="15">
        <v>0</v>
      </c>
      <c r="O116" s="15">
        <v>0</v>
      </c>
      <c r="P116" s="15">
        <v>1500.212</v>
      </c>
      <c r="Q116" s="53"/>
    </row>
    <row r="117" spans="1:17" ht="33" customHeight="1">
      <c r="A117" s="53"/>
      <c r="B117" s="53"/>
      <c r="C117" s="57"/>
      <c r="D117" s="48"/>
      <c r="E117" s="49"/>
      <c r="F117" s="53"/>
      <c r="G117" s="86"/>
      <c r="H117" s="86"/>
      <c r="I117" s="14" t="s">
        <v>84</v>
      </c>
      <c r="J117" s="61"/>
      <c r="K117" s="23" t="s">
        <v>112</v>
      </c>
      <c r="L117" s="12">
        <v>200</v>
      </c>
      <c r="M117" s="15">
        <v>0</v>
      </c>
      <c r="N117" s="15">
        <v>0</v>
      </c>
      <c r="O117" s="15">
        <v>0</v>
      </c>
      <c r="P117" s="15">
        <v>15364.88</v>
      </c>
      <c r="Q117" s="53"/>
    </row>
    <row r="118" spans="1:17" ht="33" customHeight="1">
      <c r="A118" s="53"/>
      <c r="B118" s="53"/>
      <c r="C118" s="57"/>
      <c r="D118" s="48"/>
      <c r="E118" s="49"/>
      <c r="F118" s="53"/>
      <c r="G118" s="86"/>
      <c r="H118" s="86"/>
      <c r="I118" s="14" t="s">
        <v>247</v>
      </c>
      <c r="J118" s="61"/>
      <c r="K118" s="14" t="s">
        <v>112</v>
      </c>
      <c r="L118" s="12">
        <v>200</v>
      </c>
      <c r="M118" s="15">
        <v>0</v>
      </c>
      <c r="N118" s="15">
        <v>0</v>
      </c>
      <c r="O118" s="15">
        <v>0</v>
      </c>
      <c r="P118" s="15">
        <v>9267.14</v>
      </c>
      <c r="Q118" s="53"/>
    </row>
    <row r="119" spans="1:17" ht="33" customHeight="1">
      <c r="A119" s="53"/>
      <c r="B119" s="53"/>
      <c r="C119" s="57"/>
      <c r="D119" s="48"/>
      <c r="E119" s="49"/>
      <c r="F119" s="53"/>
      <c r="G119" s="86"/>
      <c r="H119" s="86"/>
      <c r="I119" s="14" t="s">
        <v>127</v>
      </c>
      <c r="J119" s="61"/>
      <c r="K119" s="14" t="s">
        <v>112</v>
      </c>
      <c r="L119" s="12">
        <v>200</v>
      </c>
      <c r="M119" s="15">
        <v>0</v>
      </c>
      <c r="N119" s="15">
        <v>0</v>
      </c>
      <c r="O119" s="15">
        <v>0</v>
      </c>
      <c r="P119" s="15">
        <v>4345.568</v>
      </c>
      <c r="Q119" s="53"/>
    </row>
    <row r="120" spans="1:17" ht="33" customHeight="1">
      <c r="A120" s="54"/>
      <c r="B120" s="54"/>
      <c r="C120" s="58"/>
      <c r="D120" s="50"/>
      <c r="E120" s="51"/>
      <c r="F120" s="54"/>
      <c r="G120" s="87"/>
      <c r="H120" s="87"/>
      <c r="I120" s="14" t="s">
        <v>128</v>
      </c>
      <c r="J120" s="62"/>
      <c r="K120" s="14" t="s">
        <v>141</v>
      </c>
      <c r="L120" s="12">
        <v>200</v>
      </c>
      <c r="M120" s="15">
        <v>0</v>
      </c>
      <c r="N120" s="15">
        <v>0</v>
      </c>
      <c r="O120" s="15">
        <v>0</v>
      </c>
      <c r="P120" s="15">
        <v>1920.592</v>
      </c>
      <c r="Q120" s="54"/>
    </row>
    <row r="121" spans="1:17" ht="89.25" customHeight="1">
      <c r="A121" s="20">
        <v>812</v>
      </c>
      <c r="B121" s="20" t="s">
        <v>495</v>
      </c>
      <c r="C121" s="24" t="s">
        <v>603</v>
      </c>
      <c r="D121" s="55" t="s">
        <v>203</v>
      </c>
      <c r="E121" s="55"/>
      <c r="F121" s="12" t="s">
        <v>237</v>
      </c>
      <c r="G121" s="13">
        <v>44197</v>
      </c>
      <c r="H121" s="13">
        <v>44561</v>
      </c>
      <c r="I121" s="26" t="s">
        <v>84</v>
      </c>
      <c r="J121" s="26" t="s">
        <v>494</v>
      </c>
      <c r="K121" s="14" t="s">
        <v>112</v>
      </c>
      <c r="L121" s="12">
        <v>200</v>
      </c>
      <c r="M121" s="29">
        <v>0</v>
      </c>
      <c r="N121" s="29">
        <v>0</v>
      </c>
      <c r="O121" s="29">
        <f>1281.168-619.672</f>
        <v>661.4959999999999</v>
      </c>
      <c r="P121" s="29">
        <v>0</v>
      </c>
      <c r="Q121" s="12" t="s">
        <v>119</v>
      </c>
    </row>
    <row r="122" spans="1:17" ht="135" customHeight="1">
      <c r="A122" s="20">
        <v>812</v>
      </c>
      <c r="B122" s="20" t="s">
        <v>498</v>
      </c>
      <c r="C122" s="24" t="s">
        <v>603</v>
      </c>
      <c r="D122" s="55" t="s">
        <v>538</v>
      </c>
      <c r="E122" s="55"/>
      <c r="F122" s="12" t="s">
        <v>159</v>
      </c>
      <c r="G122" s="13">
        <v>44197</v>
      </c>
      <c r="H122" s="13">
        <v>44561</v>
      </c>
      <c r="I122" s="26" t="s">
        <v>84</v>
      </c>
      <c r="J122" s="26" t="s">
        <v>499</v>
      </c>
      <c r="K122" s="14" t="s">
        <v>145</v>
      </c>
      <c r="L122" s="12">
        <v>200</v>
      </c>
      <c r="M122" s="29">
        <v>0</v>
      </c>
      <c r="N122" s="29">
        <v>0</v>
      </c>
      <c r="O122" s="29">
        <f>78.12-36.45375</f>
        <v>41.666250000000005</v>
      </c>
      <c r="P122" s="29">
        <v>0</v>
      </c>
      <c r="Q122" s="12" t="s">
        <v>119</v>
      </c>
    </row>
    <row r="123" spans="1:17" ht="89.25" customHeight="1">
      <c r="A123" s="59">
        <v>812</v>
      </c>
      <c r="B123" s="59" t="s">
        <v>565</v>
      </c>
      <c r="C123" s="55" t="s">
        <v>566</v>
      </c>
      <c r="D123" s="55" t="s">
        <v>203</v>
      </c>
      <c r="E123" s="55"/>
      <c r="F123" s="12" t="s">
        <v>187</v>
      </c>
      <c r="G123" s="63">
        <v>44382</v>
      </c>
      <c r="H123" s="63">
        <v>44561</v>
      </c>
      <c r="I123" s="65" t="s">
        <v>84</v>
      </c>
      <c r="J123" s="65" t="s">
        <v>567</v>
      </c>
      <c r="K123" s="65" t="s">
        <v>112</v>
      </c>
      <c r="L123" s="59">
        <v>241</v>
      </c>
      <c r="M123" s="64">
        <v>0</v>
      </c>
      <c r="N123" s="64">
        <v>0</v>
      </c>
      <c r="O123" s="64">
        <f>559.3-61.18843</f>
        <v>498.11157</v>
      </c>
      <c r="P123" s="64">
        <v>0</v>
      </c>
      <c r="Q123" s="59" t="s">
        <v>123</v>
      </c>
    </row>
    <row r="124" spans="1:17" ht="68.25" customHeight="1">
      <c r="A124" s="59"/>
      <c r="B124" s="59"/>
      <c r="C124" s="55"/>
      <c r="D124" s="55" t="s">
        <v>168</v>
      </c>
      <c r="E124" s="55"/>
      <c r="F124" s="12" t="s">
        <v>169</v>
      </c>
      <c r="G124" s="63"/>
      <c r="H124" s="59"/>
      <c r="I124" s="65"/>
      <c r="J124" s="65"/>
      <c r="K124" s="65"/>
      <c r="L124" s="59"/>
      <c r="M124" s="64"/>
      <c r="N124" s="64"/>
      <c r="O124" s="64"/>
      <c r="P124" s="64"/>
      <c r="Q124" s="59"/>
    </row>
    <row r="125" spans="1:17" ht="68.25" customHeight="1">
      <c r="A125" s="59">
        <v>812</v>
      </c>
      <c r="B125" s="59" t="s">
        <v>568</v>
      </c>
      <c r="C125" s="55" t="s">
        <v>569</v>
      </c>
      <c r="D125" s="55" t="s">
        <v>203</v>
      </c>
      <c r="E125" s="55"/>
      <c r="F125" s="12" t="s">
        <v>187</v>
      </c>
      <c r="G125" s="63">
        <v>44382</v>
      </c>
      <c r="H125" s="63">
        <v>44561</v>
      </c>
      <c r="I125" s="65" t="s">
        <v>84</v>
      </c>
      <c r="J125" s="65" t="s">
        <v>570</v>
      </c>
      <c r="K125" s="65" t="s">
        <v>112</v>
      </c>
      <c r="L125" s="59">
        <v>241</v>
      </c>
      <c r="M125" s="64">
        <v>0</v>
      </c>
      <c r="N125" s="64">
        <v>0</v>
      </c>
      <c r="O125" s="64">
        <v>995.75</v>
      </c>
      <c r="P125" s="64">
        <v>0</v>
      </c>
      <c r="Q125" s="59" t="s">
        <v>123</v>
      </c>
    </row>
    <row r="126" spans="1:17" ht="68.25" customHeight="1">
      <c r="A126" s="59"/>
      <c r="B126" s="59"/>
      <c r="C126" s="55"/>
      <c r="D126" s="55" t="s">
        <v>168</v>
      </c>
      <c r="E126" s="55"/>
      <c r="F126" s="12" t="s">
        <v>169</v>
      </c>
      <c r="G126" s="63"/>
      <c r="H126" s="59"/>
      <c r="I126" s="65"/>
      <c r="J126" s="65"/>
      <c r="K126" s="65"/>
      <c r="L126" s="59"/>
      <c r="M126" s="64"/>
      <c r="N126" s="64"/>
      <c r="O126" s="64"/>
      <c r="P126" s="64"/>
      <c r="Q126" s="59"/>
    </row>
    <row r="127" spans="1:17" ht="106.5" customHeight="1">
      <c r="A127" s="52">
        <v>812</v>
      </c>
      <c r="B127" s="52" t="s">
        <v>282</v>
      </c>
      <c r="C127" s="56" t="s">
        <v>347</v>
      </c>
      <c r="D127" s="69" t="s">
        <v>460</v>
      </c>
      <c r="E127" s="70"/>
      <c r="F127" s="12" t="s">
        <v>157</v>
      </c>
      <c r="G127" s="85">
        <v>40544</v>
      </c>
      <c r="H127" s="52" t="s">
        <v>7</v>
      </c>
      <c r="I127" s="60" t="s">
        <v>247</v>
      </c>
      <c r="J127" s="60" t="s">
        <v>294</v>
      </c>
      <c r="K127" s="60" t="s">
        <v>112</v>
      </c>
      <c r="L127" s="52">
        <v>241</v>
      </c>
      <c r="M127" s="83">
        <v>215267</v>
      </c>
      <c r="N127" s="83">
        <v>215267</v>
      </c>
      <c r="O127" s="83">
        <v>224234.1</v>
      </c>
      <c r="P127" s="83">
        <v>232400</v>
      </c>
      <c r="Q127" s="52" t="s">
        <v>123</v>
      </c>
    </row>
    <row r="128" spans="1:17" ht="70.5" customHeight="1">
      <c r="A128" s="54"/>
      <c r="B128" s="54"/>
      <c r="C128" s="58"/>
      <c r="D128" s="69" t="s">
        <v>168</v>
      </c>
      <c r="E128" s="70"/>
      <c r="F128" s="12" t="s">
        <v>169</v>
      </c>
      <c r="G128" s="87"/>
      <c r="H128" s="54"/>
      <c r="I128" s="62"/>
      <c r="J128" s="62"/>
      <c r="K128" s="62"/>
      <c r="L128" s="54"/>
      <c r="M128" s="84"/>
      <c r="N128" s="84"/>
      <c r="O128" s="92"/>
      <c r="P128" s="84"/>
      <c r="Q128" s="54"/>
    </row>
    <row r="129" spans="1:17" ht="87" customHeight="1">
      <c r="A129" s="59">
        <v>812</v>
      </c>
      <c r="B129" s="59" t="s">
        <v>33</v>
      </c>
      <c r="C129" s="55" t="s">
        <v>313</v>
      </c>
      <c r="D129" s="55" t="s">
        <v>203</v>
      </c>
      <c r="E129" s="55"/>
      <c r="F129" s="12" t="s">
        <v>187</v>
      </c>
      <c r="G129" s="63">
        <v>44197</v>
      </c>
      <c r="H129" s="63">
        <v>44561</v>
      </c>
      <c r="I129" s="65" t="s">
        <v>247</v>
      </c>
      <c r="J129" s="65" t="s">
        <v>331</v>
      </c>
      <c r="K129" s="65" t="s">
        <v>112</v>
      </c>
      <c r="L129" s="59">
        <v>241</v>
      </c>
      <c r="M129" s="64">
        <v>0</v>
      </c>
      <c r="N129" s="64">
        <v>0</v>
      </c>
      <c r="O129" s="64">
        <v>9865</v>
      </c>
      <c r="P129" s="64">
        <v>0</v>
      </c>
      <c r="Q129" s="59" t="s">
        <v>123</v>
      </c>
    </row>
    <row r="130" spans="1:17" ht="58.5" customHeight="1">
      <c r="A130" s="59"/>
      <c r="B130" s="59"/>
      <c r="C130" s="55"/>
      <c r="D130" s="55" t="s">
        <v>168</v>
      </c>
      <c r="E130" s="55"/>
      <c r="F130" s="12" t="s">
        <v>169</v>
      </c>
      <c r="G130" s="63"/>
      <c r="H130" s="59"/>
      <c r="I130" s="65"/>
      <c r="J130" s="65"/>
      <c r="K130" s="65"/>
      <c r="L130" s="59"/>
      <c r="M130" s="64"/>
      <c r="N130" s="64"/>
      <c r="O130" s="64"/>
      <c r="P130" s="64"/>
      <c r="Q130" s="59"/>
    </row>
    <row r="131" spans="1:17" ht="101.25" customHeight="1">
      <c r="A131" s="52">
        <v>812</v>
      </c>
      <c r="B131" s="52" t="s">
        <v>393</v>
      </c>
      <c r="C131" s="93" t="s">
        <v>348</v>
      </c>
      <c r="D131" s="69" t="s">
        <v>460</v>
      </c>
      <c r="E131" s="70"/>
      <c r="F131" s="12" t="s">
        <v>157</v>
      </c>
      <c r="G131" s="85" t="s">
        <v>205</v>
      </c>
      <c r="H131" s="52" t="s">
        <v>7</v>
      </c>
      <c r="I131" s="60" t="s">
        <v>127</v>
      </c>
      <c r="J131" s="60" t="s">
        <v>295</v>
      </c>
      <c r="K131" s="60" t="s">
        <v>112</v>
      </c>
      <c r="L131" s="52">
        <v>241</v>
      </c>
      <c r="M131" s="83">
        <v>86552.6</v>
      </c>
      <c r="N131" s="83">
        <v>86522.6</v>
      </c>
      <c r="O131" s="83">
        <f>92870.8+700</f>
        <v>93570.8</v>
      </c>
      <c r="P131" s="83">
        <v>95830</v>
      </c>
      <c r="Q131" s="52" t="s">
        <v>123</v>
      </c>
    </row>
    <row r="132" spans="1:17" ht="69" customHeight="1">
      <c r="A132" s="54"/>
      <c r="B132" s="54"/>
      <c r="C132" s="94"/>
      <c r="D132" s="69" t="s">
        <v>168</v>
      </c>
      <c r="E132" s="70"/>
      <c r="F132" s="12" t="s">
        <v>187</v>
      </c>
      <c r="G132" s="87"/>
      <c r="H132" s="54"/>
      <c r="I132" s="62"/>
      <c r="J132" s="62"/>
      <c r="K132" s="62"/>
      <c r="L132" s="54"/>
      <c r="M132" s="84"/>
      <c r="N132" s="84"/>
      <c r="O132" s="84"/>
      <c r="P132" s="84"/>
      <c r="Q132" s="54"/>
    </row>
    <row r="133" spans="1:17" ht="58.5" customHeight="1">
      <c r="A133" s="65" t="s">
        <v>271</v>
      </c>
      <c r="B133" s="59" t="s">
        <v>283</v>
      </c>
      <c r="C133" s="55" t="s">
        <v>23</v>
      </c>
      <c r="D133" s="68" t="s">
        <v>461</v>
      </c>
      <c r="E133" s="68"/>
      <c r="F133" s="12" t="s">
        <v>187</v>
      </c>
      <c r="G133" s="63">
        <v>44197</v>
      </c>
      <c r="H133" s="63">
        <v>44561</v>
      </c>
      <c r="I133" s="65" t="s">
        <v>127</v>
      </c>
      <c r="J133" s="59">
        <v>3050220020</v>
      </c>
      <c r="K133" s="109">
        <v>600</v>
      </c>
      <c r="L133" s="109">
        <v>200</v>
      </c>
      <c r="M133" s="83">
        <v>3148.608</v>
      </c>
      <c r="N133" s="83">
        <v>3023.35</v>
      </c>
      <c r="O133" s="83">
        <v>3552</v>
      </c>
      <c r="P133" s="83">
        <v>4790.46</v>
      </c>
      <c r="Q133" s="59" t="s">
        <v>120</v>
      </c>
    </row>
    <row r="134" spans="1:17" ht="84" customHeight="1">
      <c r="A134" s="65"/>
      <c r="B134" s="59"/>
      <c r="C134" s="55"/>
      <c r="D134" s="90" t="s">
        <v>203</v>
      </c>
      <c r="E134" s="91"/>
      <c r="F134" s="12" t="s">
        <v>169</v>
      </c>
      <c r="G134" s="63"/>
      <c r="H134" s="59"/>
      <c r="I134" s="65"/>
      <c r="J134" s="59"/>
      <c r="K134" s="110"/>
      <c r="L134" s="110"/>
      <c r="M134" s="92"/>
      <c r="N134" s="92"/>
      <c r="O134" s="92"/>
      <c r="P134" s="92"/>
      <c r="Q134" s="59"/>
    </row>
    <row r="135" spans="1:17" ht="57" customHeight="1">
      <c r="A135" s="65"/>
      <c r="B135" s="59"/>
      <c r="C135" s="55"/>
      <c r="D135" s="55" t="s">
        <v>168</v>
      </c>
      <c r="E135" s="55"/>
      <c r="F135" s="12" t="s">
        <v>170</v>
      </c>
      <c r="G135" s="59"/>
      <c r="H135" s="59"/>
      <c r="I135" s="65"/>
      <c r="J135" s="59"/>
      <c r="K135" s="111"/>
      <c r="L135" s="111"/>
      <c r="M135" s="84"/>
      <c r="N135" s="84"/>
      <c r="O135" s="84"/>
      <c r="P135" s="84"/>
      <c r="Q135" s="66"/>
    </row>
    <row r="136" spans="1:17" ht="160.5" customHeight="1">
      <c r="A136" s="20">
        <v>812</v>
      </c>
      <c r="B136" s="20" t="s">
        <v>585</v>
      </c>
      <c r="C136" s="22" t="s">
        <v>582</v>
      </c>
      <c r="D136" s="75" t="s">
        <v>583</v>
      </c>
      <c r="E136" s="76"/>
      <c r="F136" s="12" t="s">
        <v>584</v>
      </c>
      <c r="G136" s="19">
        <v>44401</v>
      </c>
      <c r="H136" s="19">
        <v>44561</v>
      </c>
      <c r="I136" s="23" t="s">
        <v>127</v>
      </c>
      <c r="J136" s="20">
        <v>3050956340</v>
      </c>
      <c r="K136" s="32">
        <v>600</v>
      </c>
      <c r="L136" s="32">
        <v>300</v>
      </c>
      <c r="M136" s="30">
        <v>0</v>
      </c>
      <c r="N136" s="30">
        <v>0</v>
      </c>
      <c r="O136" s="30">
        <v>1312.4</v>
      </c>
      <c r="P136" s="30">
        <v>0</v>
      </c>
      <c r="Q136" s="43" t="s">
        <v>120</v>
      </c>
    </row>
    <row r="137" spans="1:17" ht="90.75" customHeight="1">
      <c r="A137" s="20">
        <v>812</v>
      </c>
      <c r="B137" s="20" t="s">
        <v>558</v>
      </c>
      <c r="C137" s="40" t="s">
        <v>632</v>
      </c>
      <c r="D137" s="45" t="s">
        <v>633</v>
      </c>
      <c r="E137" s="45"/>
      <c r="F137" s="12" t="s">
        <v>160</v>
      </c>
      <c r="G137" s="19">
        <v>44197</v>
      </c>
      <c r="H137" s="19">
        <v>44926</v>
      </c>
      <c r="I137" s="23" t="s">
        <v>85</v>
      </c>
      <c r="J137" s="23" t="s">
        <v>424</v>
      </c>
      <c r="K137" s="23" t="s">
        <v>141</v>
      </c>
      <c r="L137" s="20">
        <v>200</v>
      </c>
      <c r="M137" s="29">
        <v>0</v>
      </c>
      <c r="N137" s="29">
        <v>0</v>
      </c>
      <c r="O137" s="29">
        <f>6250.4-6250.4</f>
        <v>0</v>
      </c>
      <c r="P137" s="29">
        <v>6718.2</v>
      </c>
      <c r="Q137" s="20" t="s">
        <v>119</v>
      </c>
    </row>
    <row r="138" spans="1:17" ht="28.5" customHeight="1">
      <c r="A138" s="52">
        <v>812</v>
      </c>
      <c r="B138" s="60" t="s">
        <v>212</v>
      </c>
      <c r="C138" s="56" t="s">
        <v>341</v>
      </c>
      <c r="D138" s="46" t="s">
        <v>338</v>
      </c>
      <c r="E138" s="47"/>
      <c r="F138" s="52" t="s">
        <v>339</v>
      </c>
      <c r="G138" s="85">
        <v>43282</v>
      </c>
      <c r="H138" s="52" t="s">
        <v>7</v>
      </c>
      <c r="I138" s="60" t="s">
        <v>85</v>
      </c>
      <c r="J138" s="60" t="s">
        <v>361</v>
      </c>
      <c r="K138" s="14" t="s">
        <v>145</v>
      </c>
      <c r="L138" s="12">
        <v>200</v>
      </c>
      <c r="M138" s="15">
        <v>0</v>
      </c>
      <c r="N138" s="15">
        <v>0</v>
      </c>
      <c r="O138" s="15">
        <f>217.7-20.3</f>
        <v>197.39999999999998</v>
      </c>
      <c r="P138" s="15">
        <v>217.653</v>
      </c>
      <c r="Q138" s="52" t="s">
        <v>123</v>
      </c>
    </row>
    <row r="139" spans="1:17" ht="28.5" customHeight="1">
      <c r="A139" s="53"/>
      <c r="B139" s="61"/>
      <c r="C139" s="57"/>
      <c r="D139" s="48"/>
      <c r="E139" s="49"/>
      <c r="F139" s="53"/>
      <c r="G139" s="86"/>
      <c r="H139" s="53"/>
      <c r="I139" s="61"/>
      <c r="J139" s="61"/>
      <c r="K139" s="14" t="s">
        <v>141</v>
      </c>
      <c r="L139" s="12" t="s">
        <v>114</v>
      </c>
      <c r="M139" s="15">
        <v>0</v>
      </c>
      <c r="N139" s="15">
        <v>0</v>
      </c>
      <c r="O139" s="15">
        <f>972.34+44</f>
        <v>1016.34</v>
      </c>
      <c r="P139" s="15">
        <v>972.3</v>
      </c>
      <c r="Q139" s="53"/>
    </row>
    <row r="140" spans="1:17" ht="28.5" customHeight="1">
      <c r="A140" s="54"/>
      <c r="B140" s="62"/>
      <c r="C140" s="58"/>
      <c r="D140" s="50"/>
      <c r="E140" s="51"/>
      <c r="F140" s="54"/>
      <c r="G140" s="87"/>
      <c r="H140" s="54"/>
      <c r="I140" s="62"/>
      <c r="J140" s="62"/>
      <c r="K140" s="14" t="s">
        <v>112</v>
      </c>
      <c r="L140" s="12">
        <v>241</v>
      </c>
      <c r="M140" s="15">
        <v>0</v>
      </c>
      <c r="N140" s="15">
        <v>0</v>
      </c>
      <c r="O140" s="15">
        <v>0</v>
      </c>
      <c r="P140" s="15">
        <v>0</v>
      </c>
      <c r="Q140" s="54"/>
    </row>
    <row r="141" spans="1:17" ht="55.5" customHeight="1">
      <c r="A141" s="59">
        <v>812</v>
      </c>
      <c r="B141" s="59" t="s">
        <v>394</v>
      </c>
      <c r="C141" s="55" t="s">
        <v>349</v>
      </c>
      <c r="D141" s="55" t="s">
        <v>367</v>
      </c>
      <c r="E141" s="55"/>
      <c r="F141" s="12" t="s">
        <v>287</v>
      </c>
      <c r="G141" s="63">
        <v>41667</v>
      </c>
      <c r="H141" s="59" t="s">
        <v>7</v>
      </c>
      <c r="I141" s="65" t="s">
        <v>85</v>
      </c>
      <c r="J141" s="65" t="s">
        <v>296</v>
      </c>
      <c r="K141" s="65" t="s">
        <v>112</v>
      </c>
      <c r="L141" s="59">
        <v>241</v>
      </c>
      <c r="M141" s="64">
        <v>0</v>
      </c>
      <c r="N141" s="64">
        <v>0</v>
      </c>
      <c r="O141" s="64">
        <f>4442-4442</f>
        <v>0</v>
      </c>
      <c r="P141" s="64">
        <v>4450.8</v>
      </c>
      <c r="Q141" s="59" t="s">
        <v>123</v>
      </c>
    </row>
    <row r="142" spans="1:17" ht="55.5" customHeight="1">
      <c r="A142" s="59"/>
      <c r="B142" s="59"/>
      <c r="C142" s="55"/>
      <c r="D142" s="55" t="s">
        <v>168</v>
      </c>
      <c r="E142" s="55"/>
      <c r="F142" s="12" t="s">
        <v>169</v>
      </c>
      <c r="G142" s="63"/>
      <c r="H142" s="59"/>
      <c r="I142" s="65"/>
      <c r="J142" s="65"/>
      <c r="K142" s="65"/>
      <c r="L142" s="59"/>
      <c r="M142" s="64"/>
      <c r="N142" s="64"/>
      <c r="O142" s="64"/>
      <c r="P142" s="64"/>
      <c r="Q142" s="59"/>
    </row>
    <row r="143" spans="1:17" ht="101.25" customHeight="1">
      <c r="A143" s="59"/>
      <c r="B143" s="59"/>
      <c r="C143" s="55"/>
      <c r="D143" s="55" t="s">
        <v>460</v>
      </c>
      <c r="E143" s="55"/>
      <c r="F143" s="12" t="s">
        <v>170</v>
      </c>
      <c r="G143" s="63"/>
      <c r="H143" s="59"/>
      <c r="I143" s="65"/>
      <c r="J143" s="65"/>
      <c r="K143" s="65"/>
      <c r="L143" s="59"/>
      <c r="M143" s="64"/>
      <c r="N143" s="64"/>
      <c r="O143" s="64"/>
      <c r="P143" s="64"/>
      <c r="Q143" s="59"/>
    </row>
    <row r="144" spans="1:17" ht="54.75" customHeight="1">
      <c r="A144" s="59">
        <v>812</v>
      </c>
      <c r="B144" s="59" t="s">
        <v>395</v>
      </c>
      <c r="C144" s="55" t="s">
        <v>204</v>
      </c>
      <c r="D144" s="55" t="s">
        <v>367</v>
      </c>
      <c r="E144" s="55"/>
      <c r="F144" s="12" t="s">
        <v>288</v>
      </c>
      <c r="G144" s="63">
        <v>44197</v>
      </c>
      <c r="H144" s="63">
        <v>44561</v>
      </c>
      <c r="I144" s="65" t="s">
        <v>85</v>
      </c>
      <c r="J144" s="65" t="s">
        <v>297</v>
      </c>
      <c r="K144" s="65" t="s">
        <v>112</v>
      </c>
      <c r="L144" s="59">
        <v>241</v>
      </c>
      <c r="M144" s="64">
        <v>0</v>
      </c>
      <c r="N144" s="64">
        <v>0</v>
      </c>
      <c r="O144" s="64">
        <f>1210+186</f>
        <v>1396</v>
      </c>
      <c r="P144" s="64">
        <v>1210</v>
      </c>
      <c r="Q144" s="59" t="s">
        <v>123</v>
      </c>
    </row>
    <row r="145" spans="1:17" ht="53.25" customHeight="1">
      <c r="A145" s="59"/>
      <c r="B145" s="59"/>
      <c r="C145" s="55"/>
      <c r="D145" s="55" t="s">
        <v>168</v>
      </c>
      <c r="E145" s="55"/>
      <c r="F145" s="12" t="s">
        <v>169</v>
      </c>
      <c r="G145" s="63"/>
      <c r="H145" s="59"/>
      <c r="I145" s="65"/>
      <c r="J145" s="65"/>
      <c r="K145" s="65"/>
      <c r="L145" s="59"/>
      <c r="M145" s="64"/>
      <c r="N145" s="64"/>
      <c r="O145" s="64"/>
      <c r="P145" s="64"/>
      <c r="Q145" s="59"/>
    </row>
    <row r="146" spans="1:17" ht="31.5" customHeight="1">
      <c r="A146" s="65" t="s">
        <v>271</v>
      </c>
      <c r="B146" s="59" t="s">
        <v>214</v>
      </c>
      <c r="C146" s="55" t="s">
        <v>65</v>
      </c>
      <c r="D146" s="55" t="s">
        <v>459</v>
      </c>
      <c r="E146" s="55"/>
      <c r="F146" s="59" t="s">
        <v>170</v>
      </c>
      <c r="G146" s="63">
        <v>43843</v>
      </c>
      <c r="H146" s="59" t="s">
        <v>7</v>
      </c>
      <c r="I146" s="65" t="s">
        <v>85</v>
      </c>
      <c r="J146" s="59">
        <v>4030005210</v>
      </c>
      <c r="K146" s="14" t="s">
        <v>141</v>
      </c>
      <c r="L146" s="12" t="s">
        <v>114</v>
      </c>
      <c r="M146" s="15">
        <v>432.533</v>
      </c>
      <c r="N146" s="15">
        <v>432.533</v>
      </c>
      <c r="O146" s="15">
        <v>678</v>
      </c>
      <c r="P146" s="15">
        <v>678</v>
      </c>
      <c r="Q146" s="59" t="s">
        <v>123</v>
      </c>
    </row>
    <row r="147" spans="1:17" ht="22.5" customHeight="1">
      <c r="A147" s="66"/>
      <c r="B147" s="66"/>
      <c r="C147" s="67"/>
      <c r="D147" s="67"/>
      <c r="E147" s="67"/>
      <c r="F147" s="95"/>
      <c r="G147" s="66"/>
      <c r="H147" s="66"/>
      <c r="I147" s="66"/>
      <c r="J147" s="66"/>
      <c r="K147" s="14" t="s">
        <v>147</v>
      </c>
      <c r="L147" s="12">
        <v>200</v>
      </c>
      <c r="M147" s="15">
        <v>285</v>
      </c>
      <c r="N147" s="15">
        <v>284.955</v>
      </c>
      <c r="O147" s="15">
        <v>342</v>
      </c>
      <c r="P147" s="15">
        <f>O147*1</f>
        <v>342</v>
      </c>
      <c r="Q147" s="66"/>
    </row>
    <row r="148" spans="1:17" ht="23.25" customHeight="1">
      <c r="A148" s="59">
        <v>812</v>
      </c>
      <c r="B148" s="59" t="s">
        <v>215</v>
      </c>
      <c r="C148" s="55" t="s">
        <v>575</v>
      </c>
      <c r="D148" s="55" t="s">
        <v>462</v>
      </c>
      <c r="E148" s="55"/>
      <c r="F148" s="59" t="s">
        <v>382</v>
      </c>
      <c r="G148" s="63">
        <v>43678</v>
      </c>
      <c r="H148" s="59" t="s">
        <v>118</v>
      </c>
      <c r="I148" s="65" t="s">
        <v>85</v>
      </c>
      <c r="J148" s="65" t="s">
        <v>500</v>
      </c>
      <c r="K148" s="14" t="s">
        <v>145</v>
      </c>
      <c r="L148" s="12">
        <v>200</v>
      </c>
      <c r="M148" s="15">
        <f>5347.2+64+1614.88</f>
        <v>7026.08</v>
      </c>
      <c r="N148" s="15">
        <f>5337.376+63.998+1611.311</f>
        <v>7012.6849999999995</v>
      </c>
      <c r="O148" s="28">
        <v>13110.7</v>
      </c>
      <c r="P148" s="33">
        <v>14893.405</v>
      </c>
      <c r="Q148" s="59" t="s">
        <v>123</v>
      </c>
    </row>
    <row r="149" spans="1:17" ht="23.25" customHeight="1">
      <c r="A149" s="59"/>
      <c r="B149" s="59"/>
      <c r="C149" s="55"/>
      <c r="D149" s="55"/>
      <c r="E149" s="55"/>
      <c r="F149" s="66"/>
      <c r="G149" s="63"/>
      <c r="H149" s="59"/>
      <c r="I149" s="59"/>
      <c r="J149" s="59"/>
      <c r="K149" s="12">
        <v>200</v>
      </c>
      <c r="L149" s="12" t="s">
        <v>114</v>
      </c>
      <c r="M149" s="15">
        <f>446.608+7712.011</f>
        <v>8158.619000000001</v>
      </c>
      <c r="N149" s="15">
        <f>431.43+7120.704</f>
        <v>7552.134</v>
      </c>
      <c r="O149" s="28">
        <v>12077.4</v>
      </c>
      <c r="P149" s="33">
        <v>6165.34</v>
      </c>
      <c r="Q149" s="59"/>
    </row>
    <row r="150" spans="1:17" ht="25.5" customHeight="1">
      <c r="A150" s="59"/>
      <c r="B150" s="59"/>
      <c r="C150" s="55"/>
      <c r="D150" s="55"/>
      <c r="E150" s="55"/>
      <c r="F150" s="66"/>
      <c r="G150" s="59"/>
      <c r="H150" s="59"/>
      <c r="I150" s="59"/>
      <c r="J150" s="66"/>
      <c r="K150" s="14" t="s">
        <v>146</v>
      </c>
      <c r="L150" s="12">
        <v>200</v>
      </c>
      <c r="M150" s="15">
        <v>0.8</v>
      </c>
      <c r="N150" s="15">
        <v>0.8</v>
      </c>
      <c r="O150" s="15">
        <v>2</v>
      </c>
      <c r="P150" s="33">
        <f>O150</f>
        <v>2</v>
      </c>
      <c r="Q150" s="59"/>
    </row>
    <row r="151" spans="1:17" ht="70.5" customHeight="1">
      <c r="A151" s="12">
        <v>812</v>
      </c>
      <c r="B151" s="12" t="s">
        <v>604</v>
      </c>
      <c r="C151" s="22" t="s">
        <v>605</v>
      </c>
      <c r="D151" s="75"/>
      <c r="E151" s="76"/>
      <c r="F151" s="12"/>
      <c r="G151" s="13">
        <v>44562</v>
      </c>
      <c r="H151" s="13">
        <v>44926</v>
      </c>
      <c r="I151" s="14" t="s">
        <v>128</v>
      </c>
      <c r="J151" s="14" t="s">
        <v>606</v>
      </c>
      <c r="K151" s="14" t="s">
        <v>112</v>
      </c>
      <c r="L151" s="12">
        <v>200</v>
      </c>
      <c r="M151" s="15">
        <v>0</v>
      </c>
      <c r="N151" s="15">
        <v>0</v>
      </c>
      <c r="O151" s="15">
        <v>0</v>
      </c>
      <c r="P151" s="33">
        <v>206.328</v>
      </c>
      <c r="Q151" s="12" t="s">
        <v>119</v>
      </c>
    </row>
    <row r="152" spans="1:17" ht="66.75" customHeight="1">
      <c r="A152" s="12">
        <v>812</v>
      </c>
      <c r="B152" s="12" t="s">
        <v>329</v>
      </c>
      <c r="C152" s="22" t="s">
        <v>607</v>
      </c>
      <c r="D152" s="45"/>
      <c r="E152" s="45"/>
      <c r="F152" s="12"/>
      <c r="G152" s="13">
        <v>44562</v>
      </c>
      <c r="H152" s="13">
        <v>44926</v>
      </c>
      <c r="I152" s="14" t="s">
        <v>128</v>
      </c>
      <c r="J152" s="14" t="s">
        <v>608</v>
      </c>
      <c r="K152" s="14" t="s">
        <v>112</v>
      </c>
      <c r="L152" s="12">
        <v>200</v>
      </c>
      <c r="M152" s="15">
        <v>0</v>
      </c>
      <c r="N152" s="15">
        <v>0</v>
      </c>
      <c r="O152" s="15">
        <v>0</v>
      </c>
      <c r="P152" s="33">
        <v>20426.49</v>
      </c>
      <c r="Q152" s="12" t="s">
        <v>119</v>
      </c>
    </row>
    <row r="153" spans="1:17" ht="70.5" customHeight="1">
      <c r="A153" s="12">
        <v>812</v>
      </c>
      <c r="B153" s="12" t="s">
        <v>321</v>
      </c>
      <c r="C153" s="22" t="s">
        <v>431</v>
      </c>
      <c r="D153" s="75" t="s">
        <v>559</v>
      </c>
      <c r="E153" s="76"/>
      <c r="F153" s="12" t="s">
        <v>157</v>
      </c>
      <c r="G153" s="13">
        <v>44197</v>
      </c>
      <c r="H153" s="13">
        <v>45657</v>
      </c>
      <c r="I153" s="14" t="s">
        <v>128</v>
      </c>
      <c r="J153" s="14" t="s">
        <v>432</v>
      </c>
      <c r="K153" s="14" t="s">
        <v>141</v>
      </c>
      <c r="L153" s="12" t="s">
        <v>114</v>
      </c>
      <c r="M153" s="15">
        <v>0</v>
      </c>
      <c r="N153" s="15">
        <v>0</v>
      </c>
      <c r="O153" s="15">
        <v>52</v>
      </c>
      <c r="P153" s="33">
        <v>0</v>
      </c>
      <c r="Q153" s="12" t="s">
        <v>119</v>
      </c>
    </row>
    <row r="154" spans="1:17" ht="54.75" customHeight="1">
      <c r="A154" s="12">
        <v>812</v>
      </c>
      <c r="B154" s="12" t="s">
        <v>329</v>
      </c>
      <c r="C154" s="22" t="s">
        <v>408</v>
      </c>
      <c r="D154" s="45" t="s">
        <v>559</v>
      </c>
      <c r="E154" s="45"/>
      <c r="F154" s="12" t="s">
        <v>157</v>
      </c>
      <c r="G154" s="13">
        <v>44197</v>
      </c>
      <c r="H154" s="13">
        <v>45657</v>
      </c>
      <c r="I154" s="14" t="s">
        <v>128</v>
      </c>
      <c r="J154" s="14" t="s">
        <v>409</v>
      </c>
      <c r="K154" s="14" t="s">
        <v>112</v>
      </c>
      <c r="L154" s="12">
        <v>241</v>
      </c>
      <c r="M154" s="15">
        <v>0</v>
      </c>
      <c r="N154" s="15">
        <v>0</v>
      </c>
      <c r="O154" s="15">
        <v>818.3</v>
      </c>
      <c r="P154" s="33">
        <v>0</v>
      </c>
      <c r="Q154" s="12" t="s">
        <v>119</v>
      </c>
    </row>
    <row r="155" spans="1:17" ht="84.75" customHeight="1">
      <c r="A155" s="20">
        <v>812</v>
      </c>
      <c r="B155" s="20" t="s">
        <v>510</v>
      </c>
      <c r="C155" s="24" t="s">
        <v>511</v>
      </c>
      <c r="D155" s="55" t="s">
        <v>203</v>
      </c>
      <c r="E155" s="55"/>
      <c r="F155" s="12" t="s">
        <v>237</v>
      </c>
      <c r="G155" s="13">
        <v>44197</v>
      </c>
      <c r="H155" s="13">
        <v>44561</v>
      </c>
      <c r="I155" s="26" t="s">
        <v>128</v>
      </c>
      <c r="J155" s="26" t="s">
        <v>512</v>
      </c>
      <c r="K155" s="14" t="s">
        <v>112</v>
      </c>
      <c r="L155" s="12">
        <v>200</v>
      </c>
      <c r="M155" s="29">
        <v>0</v>
      </c>
      <c r="N155" s="29">
        <v>0</v>
      </c>
      <c r="O155" s="29">
        <v>12</v>
      </c>
      <c r="P155" s="29">
        <v>0</v>
      </c>
      <c r="Q155" s="12" t="s">
        <v>119</v>
      </c>
    </row>
    <row r="156" spans="1:17" ht="66" customHeight="1">
      <c r="A156" s="12">
        <v>812</v>
      </c>
      <c r="B156" s="12" t="s">
        <v>105</v>
      </c>
      <c r="C156" s="22" t="s">
        <v>410</v>
      </c>
      <c r="D156" s="45" t="s">
        <v>526</v>
      </c>
      <c r="E156" s="45"/>
      <c r="F156" s="12" t="s">
        <v>157</v>
      </c>
      <c r="G156" s="13">
        <v>44197</v>
      </c>
      <c r="H156" s="13">
        <v>45657</v>
      </c>
      <c r="I156" s="14" t="s">
        <v>128</v>
      </c>
      <c r="J156" s="14" t="s">
        <v>411</v>
      </c>
      <c r="K156" s="14" t="s">
        <v>112</v>
      </c>
      <c r="L156" s="12">
        <v>241</v>
      </c>
      <c r="M156" s="15">
        <v>0</v>
      </c>
      <c r="N156" s="15">
        <v>0</v>
      </c>
      <c r="O156" s="15">
        <v>45.8</v>
      </c>
      <c r="P156" s="33">
        <v>0</v>
      </c>
      <c r="Q156" s="12" t="s">
        <v>119</v>
      </c>
    </row>
    <row r="157" spans="1:17" ht="61.5" customHeight="1">
      <c r="A157" s="12">
        <v>812</v>
      </c>
      <c r="B157" s="12" t="s">
        <v>16</v>
      </c>
      <c r="C157" s="22" t="s">
        <v>412</v>
      </c>
      <c r="D157" s="45" t="s">
        <v>559</v>
      </c>
      <c r="E157" s="45"/>
      <c r="F157" s="12" t="s">
        <v>157</v>
      </c>
      <c r="G157" s="13">
        <v>44197</v>
      </c>
      <c r="H157" s="13">
        <v>45657</v>
      </c>
      <c r="I157" s="14" t="s">
        <v>128</v>
      </c>
      <c r="J157" s="14" t="s">
        <v>413</v>
      </c>
      <c r="K157" s="14" t="s">
        <v>112</v>
      </c>
      <c r="L157" s="12">
        <v>241</v>
      </c>
      <c r="M157" s="15">
        <v>0</v>
      </c>
      <c r="N157" s="15">
        <v>0</v>
      </c>
      <c r="O157" s="15">
        <v>31.1</v>
      </c>
      <c r="P157" s="33">
        <v>0</v>
      </c>
      <c r="Q157" s="12" t="s">
        <v>119</v>
      </c>
    </row>
    <row r="158" spans="1:17" ht="70.5" customHeight="1">
      <c r="A158" s="12">
        <v>812</v>
      </c>
      <c r="B158" s="12" t="s">
        <v>329</v>
      </c>
      <c r="C158" s="22" t="s">
        <v>622</v>
      </c>
      <c r="D158" s="45" t="s">
        <v>609</v>
      </c>
      <c r="E158" s="45"/>
      <c r="F158" s="12" t="s">
        <v>157</v>
      </c>
      <c r="G158" s="13">
        <v>44197</v>
      </c>
      <c r="H158" s="13">
        <v>45657</v>
      </c>
      <c r="I158" s="14" t="s">
        <v>128</v>
      </c>
      <c r="J158" s="14" t="s">
        <v>623</v>
      </c>
      <c r="K158" s="14" t="s">
        <v>141</v>
      </c>
      <c r="L158" s="12">
        <v>200</v>
      </c>
      <c r="M158" s="15">
        <v>0</v>
      </c>
      <c r="N158" s="15">
        <v>0</v>
      </c>
      <c r="O158" s="15">
        <v>0</v>
      </c>
      <c r="P158" s="33">
        <v>36</v>
      </c>
      <c r="Q158" s="12" t="s">
        <v>119</v>
      </c>
    </row>
    <row r="159" spans="1:17" ht="70.5" customHeight="1">
      <c r="A159" s="12">
        <v>812</v>
      </c>
      <c r="B159" s="12" t="s">
        <v>329</v>
      </c>
      <c r="C159" s="22" t="s">
        <v>624</v>
      </c>
      <c r="D159" s="45" t="s">
        <v>609</v>
      </c>
      <c r="E159" s="45"/>
      <c r="F159" s="12" t="s">
        <v>157</v>
      </c>
      <c r="G159" s="13">
        <v>44197</v>
      </c>
      <c r="H159" s="13">
        <v>45657</v>
      </c>
      <c r="I159" s="14" t="s">
        <v>128</v>
      </c>
      <c r="J159" s="14" t="s">
        <v>625</v>
      </c>
      <c r="K159" s="14" t="s">
        <v>141</v>
      </c>
      <c r="L159" s="12">
        <v>200</v>
      </c>
      <c r="M159" s="15">
        <v>0</v>
      </c>
      <c r="N159" s="15">
        <v>0</v>
      </c>
      <c r="O159" s="15">
        <v>0</v>
      </c>
      <c r="P159" s="33">
        <v>36</v>
      </c>
      <c r="Q159" s="12" t="s">
        <v>119</v>
      </c>
    </row>
    <row r="160" spans="1:17" ht="70.5" customHeight="1">
      <c r="A160" s="12">
        <v>812</v>
      </c>
      <c r="B160" s="12" t="s">
        <v>329</v>
      </c>
      <c r="C160" s="22" t="s">
        <v>520</v>
      </c>
      <c r="D160" s="45" t="s">
        <v>609</v>
      </c>
      <c r="E160" s="45"/>
      <c r="F160" s="12" t="s">
        <v>157</v>
      </c>
      <c r="G160" s="13">
        <v>44197</v>
      </c>
      <c r="H160" s="13">
        <v>45657</v>
      </c>
      <c r="I160" s="14" t="s">
        <v>128</v>
      </c>
      <c r="J160" s="14" t="s">
        <v>626</v>
      </c>
      <c r="K160" s="14" t="s">
        <v>141</v>
      </c>
      <c r="L160" s="12">
        <v>200</v>
      </c>
      <c r="M160" s="15">
        <v>0</v>
      </c>
      <c r="N160" s="15">
        <v>0</v>
      </c>
      <c r="O160" s="15">
        <v>0</v>
      </c>
      <c r="P160" s="33">
        <v>208</v>
      </c>
      <c r="Q160" s="12" t="s">
        <v>119</v>
      </c>
    </row>
    <row r="161" spans="1:17" ht="70.5" customHeight="1">
      <c r="A161" s="12">
        <v>812</v>
      </c>
      <c r="B161" s="12" t="s">
        <v>329</v>
      </c>
      <c r="C161" s="22" t="s">
        <v>610</v>
      </c>
      <c r="D161" s="45" t="s">
        <v>609</v>
      </c>
      <c r="E161" s="45"/>
      <c r="F161" s="12" t="s">
        <v>157</v>
      </c>
      <c r="G161" s="13">
        <v>44197</v>
      </c>
      <c r="H161" s="13">
        <v>45657</v>
      </c>
      <c r="I161" s="14" t="s">
        <v>128</v>
      </c>
      <c r="J161" s="14" t="s">
        <v>611</v>
      </c>
      <c r="K161" s="14" t="s">
        <v>112</v>
      </c>
      <c r="L161" s="12">
        <v>200</v>
      </c>
      <c r="M161" s="15">
        <v>0</v>
      </c>
      <c r="N161" s="15">
        <v>0</v>
      </c>
      <c r="O161" s="15">
        <v>0</v>
      </c>
      <c r="P161" s="33">
        <v>763.5</v>
      </c>
      <c r="Q161" s="12" t="s">
        <v>119</v>
      </c>
    </row>
    <row r="162" spans="1:17" ht="70.5" customHeight="1">
      <c r="A162" s="12">
        <v>812</v>
      </c>
      <c r="B162" s="12" t="s">
        <v>329</v>
      </c>
      <c r="C162" s="22" t="s">
        <v>612</v>
      </c>
      <c r="D162" s="45" t="s">
        <v>609</v>
      </c>
      <c r="E162" s="45"/>
      <c r="F162" s="12" t="s">
        <v>157</v>
      </c>
      <c r="G162" s="13">
        <v>44197</v>
      </c>
      <c r="H162" s="13">
        <v>45657</v>
      </c>
      <c r="I162" s="14" t="s">
        <v>128</v>
      </c>
      <c r="J162" s="14" t="s">
        <v>613</v>
      </c>
      <c r="K162" s="14" t="s">
        <v>112</v>
      </c>
      <c r="L162" s="12">
        <v>200</v>
      </c>
      <c r="M162" s="15">
        <v>0</v>
      </c>
      <c r="N162" s="15">
        <v>0</v>
      </c>
      <c r="O162" s="15">
        <v>0</v>
      </c>
      <c r="P162" s="33">
        <v>54.8</v>
      </c>
      <c r="Q162" s="12" t="s">
        <v>119</v>
      </c>
    </row>
    <row r="163" spans="1:17" ht="70.5" customHeight="1">
      <c r="A163" s="12">
        <v>812</v>
      </c>
      <c r="B163" s="12" t="s">
        <v>329</v>
      </c>
      <c r="C163" s="22" t="s">
        <v>511</v>
      </c>
      <c r="D163" s="45" t="s">
        <v>609</v>
      </c>
      <c r="E163" s="45"/>
      <c r="F163" s="12" t="s">
        <v>157</v>
      </c>
      <c r="G163" s="13">
        <v>44197</v>
      </c>
      <c r="H163" s="13">
        <v>45657</v>
      </c>
      <c r="I163" s="14" t="s">
        <v>128</v>
      </c>
      <c r="J163" s="14" t="s">
        <v>614</v>
      </c>
      <c r="K163" s="14" t="s">
        <v>112</v>
      </c>
      <c r="L163" s="12">
        <v>200</v>
      </c>
      <c r="M163" s="15">
        <v>0</v>
      </c>
      <c r="N163" s="15">
        <v>0</v>
      </c>
      <c r="O163" s="15">
        <v>0</v>
      </c>
      <c r="P163" s="33">
        <v>12</v>
      </c>
      <c r="Q163" s="12" t="s">
        <v>119</v>
      </c>
    </row>
    <row r="164" spans="1:17" ht="70.5" customHeight="1">
      <c r="A164" s="12">
        <v>812</v>
      </c>
      <c r="B164" s="12" t="s">
        <v>329</v>
      </c>
      <c r="C164" s="22" t="s">
        <v>412</v>
      </c>
      <c r="D164" s="45" t="s">
        <v>609</v>
      </c>
      <c r="E164" s="45"/>
      <c r="F164" s="12" t="s">
        <v>157</v>
      </c>
      <c r="G164" s="13">
        <v>44197</v>
      </c>
      <c r="H164" s="13">
        <v>45657</v>
      </c>
      <c r="I164" s="14" t="s">
        <v>128</v>
      </c>
      <c r="J164" s="14" t="s">
        <v>615</v>
      </c>
      <c r="K164" s="14" t="s">
        <v>112</v>
      </c>
      <c r="L164" s="12">
        <v>200</v>
      </c>
      <c r="M164" s="15">
        <v>0</v>
      </c>
      <c r="N164" s="15">
        <v>0</v>
      </c>
      <c r="O164" s="15">
        <v>0</v>
      </c>
      <c r="P164" s="33">
        <v>32.3</v>
      </c>
      <c r="Q164" s="12" t="s">
        <v>119</v>
      </c>
    </row>
    <row r="165" spans="1:17" ht="70.5" customHeight="1">
      <c r="A165" s="12">
        <v>812</v>
      </c>
      <c r="B165" s="12" t="s">
        <v>329</v>
      </c>
      <c r="C165" s="22" t="s">
        <v>616</v>
      </c>
      <c r="D165" s="45" t="s">
        <v>609</v>
      </c>
      <c r="E165" s="45"/>
      <c r="F165" s="12" t="s">
        <v>157</v>
      </c>
      <c r="G165" s="13">
        <v>44197</v>
      </c>
      <c r="H165" s="13">
        <v>45657</v>
      </c>
      <c r="I165" s="14" t="s">
        <v>128</v>
      </c>
      <c r="J165" s="14" t="s">
        <v>617</v>
      </c>
      <c r="K165" s="14" t="s">
        <v>112</v>
      </c>
      <c r="L165" s="12">
        <v>200</v>
      </c>
      <c r="M165" s="15">
        <v>0</v>
      </c>
      <c r="N165" s="15">
        <v>0</v>
      </c>
      <c r="O165" s="15">
        <v>0</v>
      </c>
      <c r="P165" s="33">
        <v>133.4</v>
      </c>
      <c r="Q165" s="12" t="s">
        <v>119</v>
      </c>
    </row>
    <row r="166" spans="1:17" ht="23.25" customHeight="1">
      <c r="A166" s="59">
        <v>812</v>
      </c>
      <c r="B166" s="59" t="s">
        <v>218</v>
      </c>
      <c r="C166" s="55" t="s">
        <v>66</v>
      </c>
      <c r="D166" s="55" t="s">
        <v>206</v>
      </c>
      <c r="E166" s="55"/>
      <c r="F166" s="59" t="s">
        <v>233</v>
      </c>
      <c r="G166" s="63">
        <v>41811</v>
      </c>
      <c r="H166" s="59" t="s">
        <v>118</v>
      </c>
      <c r="I166" s="65" t="s">
        <v>128</v>
      </c>
      <c r="J166" s="65" t="s">
        <v>193</v>
      </c>
      <c r="K166" s="14" t="s">
        <v>145</v>
      </c>
      <c r="L166" s="12">
        <v>200</v>
      </c>
      <c r="M166" s="15">
        <f>25919.8+12.8+8010.1</f>
        <v>33942.7</v>
      </c>
      <c r="N166" s="15">
        <f>25917.189+11.705+8010</f>
        <v>33938.894</v>
      </c>
      <c r="O166" s="27">
        <v>36401</v>
      </c>
      <c r="P166" s="33">
        <v>37048.15</v>
      </c>
      <c r="Q166" s="59" t="s">
        <v>123</v>
      </c>
    </row>
    <row r="167" spans="1:17" ht="23.25" customHeight="1">
      <c r="A167" s="59"/>
      <c r="B167" s="59"/>
      <c r="C167" s="55"/>
      <c r="D167" s="55"/>
      <c r="E167" s="55"/>
      <c r="F167" s="66"/>
      <c r="G167" s="63"/>
      <c r="H167" s="59"/>
      <c r="I167" s="59"/>
      <c r="J167" s="59"/>
      <c r="K167" s="12">
        <v>200</v>
      </c>
      <c r="L167" s="12" t="s">
        <v>114</v>
      </c>
      <c r="M167" s="15">
        <f>705.96+7714.88</f>
        <v>8420.84</v>
      </c>
      <c r="N167" s="15">
        <f>647.22+6925.37</f>
        <v>7572.59</v>
      </c>
      <c r="O167" s="27">
        <f>9403.94+898.5</f>
        <v>10302.44</v>
      </c>
      <c r="P167" s="33">
        <v>10482</v>
      </c>
      <c r="Q167" s="59"/>
    </row>
    <row r="168" spans="1:17" ht="23.25" customHeight="1">
      <c r="A168" s="59"/>
      <c r="B168" s="59"/>
      <c r="C168" s="55"/>
      <c r="D168" s="55"/>
      <c r="E168" s="55"/>
      <c r="F168" s="66"/>
      <c r="G168" s="63"/>
      <c r="H168" s="59"/>
      <c r="I168" s="59"/>
      <c r="J168" s="59"/>
      <c r="K168" s="12">
        <v>300</v>
      </c>
      <c r="L168" s="12">
        <v>200</v>
      </c>
      <c r="M168" s="15">
        <v>0</v>
      </c>
      <c r="N168" s="15">
        <v>0</v>
      </c>
      <c r="O168" s="27">
        <v>69.83</v>
      </c>
      <c r="P168" s="33">
        <v>0</v>
      </c>
      <c r="Q168" s="59"/>
    </row>
    <row r="169" spans="1:17" ht="28.5" customHeight="1">
      <c r="A169" s="59"/>
      <c r="B169" s="59"/>
      <c r="C169" s="55"/>
      <c r="D169" s="55"/>
      <c r="E169" s="55"/>
      <c r="F169" s="66"/>
      <c r="G169" s="59"/>
      <c r="H169" s="59"/>
      <c r="I169" s="59"/>
      <c r="J169" s="66"/>
      <c r="K169" s="14" t="s">
        <v>146</v>
      </c>
      <c r="L169" s="12">
        <v>200</v>
      </c>
      <c r="M169" s="15">
        <f>0.6+666.666+20.274+2</f>
        <v>689.5400000000001</v>
      </c>
      <c r="N169" s="15">
        <f>666.666+20.267+0.841</f>
        <v>687.7740000000001</v>
      </c>
      <c r="O169" s="15">
        <f>859.3</f>
        <v>859.3</v>
      </c>
      <c r="P169" s="33">
        <v>857.9</v>
      </c>
      <c r="Q169" s="59"/>
    </row>
    <row r="170" spans="1:17" ht="27" customHeight="1">
      <c r="A170" s="59">
        <v>812</v>
      </c>
      <c r="B170" s="59" t="s">
        <v>219</v>
      </c>
      <c r="C170" s="55" t="s">
        <v>326</v>
      </c>
      <c r="D170" s="55" t="s">
        <v>327</v>
      </c>
      <c r="E170" s="55"/>
      <c r="F170" s="59" t="s">
        <v>160</v>
      </c>
      <c r="G170" s="63">
        <v>41356</v>
      </c>
      <c r="H170" s="59" t="s">
        <v>118</v>
      </c>
      <c r="I170" s="65" t="s">
        <v>128</v>
      </c>
      <c r="J170" s="65" t="s">
        <v>328</v>
      </c>
      <c r="K170" s="14" t="s">
        <v>145</v>
      </c>
      <c r="L170" s="14" t="s">
        <v>141</v>
      </c>
      <c r="M170" s="15">
        <f>22742.49+15.99+7317.72</f>
        <v>30076.200000000004</v>
      </c>
      <c r="N170" s="15">
        <f>22696.575+15.973+7268.041</f>
        <v>29980.589000000004</v>
      </c>
      <c r="O170" s="28">
        <f>29971.1+552.9</f>
        <v>30524</v>
      </c>
      <c r="P170" s="33">
        <v>30798.594</v>
      </c>
      <c r="Q170" s="59" t="s">
        <v>123</v>
      </c>
    </row>
    <row r="171" spans="1:17" ht="25.5" customHeight="1">
      <c r="A171" s="59"/>
      <c r="B171" s="59"/>
      <c r="C171" s="55"/>
      <c r="D171" s="55"/>
      <c r="E171" s="55"/>
      <c r="F171" s="66"/>
      <c r="G171" s="63"/>
      <c r="H171" s="59"/>
      <c r="I171" s="65"/>
      <c r="J171" s="65"/>
      <c r="K171" s="14" t="s">
        <v>141</v>
      </c>
      <c r="L171" s="14" t="s">
        <v>114</v>
      </c>
      <c r="M171" s="15">
        <f>1008.32+1452.53</f>
        <v>2460.85</v>
      </c>
      <c r="N171" s="15">
        <f>997.868+1373.95</f>
        <v>2371.818</v>
      </c>
      <c r="O171" s="28">
        <f>3044.62-552.9</f>
        <v>2491.72</v>
      </c>
      <c r="P171" s="33">
        <v>3200.4</v>
      </c>
      <c r="Q171" s="66"/>
    </row>
    <row r="172" spans="1:17" ht="22.5" customHeight="1">
      <c r="A172" s="59"/>
      <c r="B172" s="59"/>
      <c r="C172" s="55"/>
      <c r="D172" s="55"/>
      <c r="E172" s="55"/>
      <c r="F172" s="66"/>
      <c r="G172" s="63"/>
      <c r="H172" s="59"/>
      <c r="I172" s="65"/>
      <c r="J172" s="65"/>
      <c r="K172" s="14" t="s">
        <v>147</v>
      </c>
      <c r="L172" s="14" t="s">
        <v>141</v>
      </c>
      <c r="M172" s="15">
        <v>0</v>
      </c>
      <c r="N172" s="15">
        <v>0</v>
      </c>
      <c r="O172" s="15">
        <v>0</v>
      </c>
      <c r="P172" s="33">
        <f>O172</f>
        <v>0</v>
      </c>
      <c r="Q172" s="66"/>
    </row>
    <row r="173" spans="1:17" ht="19.5" customHeight="1">
      <c r="A173" s="59"/>
      <c r="B173" s="59"/>
      <c r="C173" s="55"/>
      <c r="D173" s="55"/>
      <c r="E173" s="55"/>
      <c r="F173" s="66"/>
      <c r="G173" s="63"/>
      <c r="H173" s="59"/>
      <c r="I173" s="65"/>
      <c r="J173" s="65"/>
      <c r="K173" s="14" t="s">
        <v>146</v>
      </c>
      <c r="L173" s="14" t="s">
        <v>141</v>
      </c>
      <c r="M173" s="15">
        <f>7.6+0.81</f>
        <v>8.41</v>
      </c>
      <c r="N173" s="15">
        <f>5.371+0.43</f>
        <v>5.801</v>
      </c>
      <c r="O173" s="28">
        <v>13.9</v>
      </c>
      <c r="P173" s="33">
        <v>33.9</v>
      </c>
      <c r="Q173" s="66"/>
    </row>
    <row r="174" spans="1:17" ht="61.5" customHeight="1">
      <c r="A174" s="12">
        <v>812</v>
      </c>
      <c r="B174" s="12" t="s">
        <v>519</v>
      </c>
      <c r="C174" s="22" t="s">
        <v>520</v>
      </c>
      <c r="D174" s="45" t="s">
        <v>526</v>
      </c>
      <c r="E174" s="45"/>
      <c r="F174" s="12" t="s">
        <v>157</v>
      </c>
      <c r="G174" s="13">
        <v>44197</v>
      </c>
      <c r="H174" s="13">
        <v>45657</v>
      </c>
      <c r="I174" s="14" t="s">
        <v>128</v>
      </c>
      <c r="J174" s="14" t="s">
        <v>521</v>
      </c>
      <c r="K174" s="14" t="s">
        <v>141</v>
      </c>
      <c r="L174" s="12">
        <v>200</v>
      </c>
      <c r="M174" s="15">
        <v>0</v>
      </c>
      <c r="N174" s="15">
        <v>0</v>
      </c>
      <c r="O174" s="15">
        <v>208</v>
      </c>
      <c r="P174" s="33">
        <v>0</v>
      </c>
      <c r="Q174" s="12" t="s">
        <v>119</v>
      </c>
    </row>
    <row r="175" spans="1:17" ht="102.75" customHeight="1">
      <c r="A175" s="12">
        <v>812</v>
      </c>
      <c r="B175" s="12" t="s">
        <v>522</v>
      </c>
      <c r="C175" s="22" t="s">
        <v>523</v>
      </c>
      <c r="D175" s="45" t="s">
        <v>559</v>
      </c>
      <c r="E175" s="45"/>
      <c r="F175" s="12" t="s">
        <v>157</v>
      </c>
      <c r="G175" s="13">
        <v>44197</v>
      </c>
      <c r="H175" s="13">
        <v>45657</v>
      </c>
      <c r="I175" s="14" t="s">
        <v>128</v>
      </c>
      <c r="J175" s="14" t="s">
        <v>524</v>
      </c>
      <c r="K175" s="14" t="s">
        <v>141</v>
      </c>
      <c r="L175" s="12">
        <v>300</v>
      </c>
      <c r="M175" s="15">
        <v>0</v>
      </c>
      <c r="N175" s="15">
        <v>0</v>
      </c>
      <c r="O175" s="15">
        <v>57</v>
      </c>
      <c r="P175" s="33">
        <v>0</v>
      </c>
      <c r="Q175" s="12" t="s">
        <v>119</v>
      </c>
    </row>
    <row r="176" spans="1:17" ht="27" customHeight="1">
      <c r="A176" s="59">
        <v>812</v>
      </c>
      <c r="B176" s="65" t="s">
        <v>220</v>
      </c>
      <c r="C176" s="55" t="s">
        <v>334</v>
      </c>
      <c r="D176" s="55" t="s">
        <v>335</v>
      </c>
      <c r="E176" s="55"/>
      <c r="F176" s="59" t="s">
        <v>233</v>
      </c>
      <c r="G176" s="63">
        <v>43282</v>
      </c>
      <c r="H176" s="59" t="s">
        <v>7</v>
      </c>
      <c r="I176" s="65" t="s">
        <v>104</v>
      </c>
      <c r="J176" s="65" t="s">
        <v>336</v>
      </c>
      <c r="K176" s="14" t="s">
        <v>145</v>
      </c>
      <c r="L176" s="12">
        <v>200</v>
      </c>
      <c r="M176" s="15">
        <f>37695.86+23.5+11289.2</f>
        <v>49008.56</v>
      </c>
      <c r="N176" s="15">
        <f>37695.726+18.324+11289.2</f>
        <v>49003.25</v>
      </c>
      <c r="O176" s="28">
        <v>50553.1</v>
      </c>
      <c r="P176" s="15">
        <v>52018.8</v>
      </c>
      <c r="Q176" s="59" t="s">
        <v>123</v>
      </c>
    </row>
    <row r="177" spans="1:17" ht="31.5" customHeight="1">
      <c r="A177" s="59"/>
      <c r="B177" s="66"/>
      <c r="C177" s="67"/>
      <c r="D177" s="67"/>
      <c r="E177" s="67"/>
      <c r="F177" s="66"/>
      <c r="G177" s="66"/>
      <c r="H177" s="59"/>
      <c r="I177" s="66"/>
      <c r="J177" s="66"/>
      <c r="K177" s="14" t="s">
        <v>141</v>
      </c>
      <c r="L177" s="12" t="s">
        <v>114</v>
      </c>
      <c r="M177" s="15">
        <f>769.7+6301.34</f>
        <v>7071.04</v>
      </c>
      <c r="N177" s="15">
        <f>768.098+6259.989</f>
        <v>7028.0869999999995</v>
      </c>
      <c r="O177" s="28">
        <v>6926.1</v>
      </c>
      <c r="P177" s="15">
        <v>7485.98</v>
      </c>
      <c r="Q177" s="59"/>
    </row>
    <row r="178" spans="1:17" ht="32.25" customHeight="1">
      <c r="A178" s="59"/>
      <c r="B178" s="66"/>
      <c r="C178" s="67"/>
      <c r="D178" s="67"/>
      <c r="E178" s="67"/>
      <c r="F178" s="66"/>
      <c r="G178" s="66"/>
      <c r="H178" s="59"/>
      <c r="I178" s="66"/>
      <c r="J178" s="66"/>
      <c r="K178" s="14" t="s">
        <v>146</v>
      </c>
      <c r="L178" s="12">
        <v>200</v>
      </c>
      <c r="M178" s="15">
        <v>12.2</v>
      </c>
      <c r="N178" s="15">
        <v>11.679</v>
      </c>
      <c r="O178" s="15">
        <v>13.2</v>
      </c>
      <c r="P178" s="15">
        <v>12.7</v>
      </c>
      <c r="Q178" s="59"/>
    </row>
    <row r="179" spans="1:17" ht="102.75" customHeight="1">
      <c r="A179" s="59">
        <v>812</v>
      </c>
      <c r="B179" s="59" t="s">
        <v>221</v>
      </c>
      <c r="C179" s="55" t="s">
        <v>350</v>
      </c>
      <c r="D179" s="55" t="s">
        <v>460</v>
      </c>
      <c r="E179" s="55"/>
      <c r="F179" s="12" t="s">
        <v>187</v>
      </c>
      <c r="G179" s="63" t="s">
        <v>21</v>
      </c>
      <c r="H179" s="59" t="s">
        <v>7</v>
      </c>
      <c r="I179" s="96" t="s">
        <v>104</v>
      </c>
      <c r="J179" s="65" t="s">
        <v>298</v>
      </c>
      <c r="K179" s="65" t="s">
        <v>112</v>
      </c>
      <c r="L179" s="59">
        <v>241</v>
      </c>
      <c r="M179" s="64">
        <v>74071.612</v>
      </c>
      <c r="N179" s="64">
        <v>74071.612</v>
      </c>
      <c r="O179" s="64">
        <f>75059.5+800</f>
        <v>75859.5</v>
      </c>
      <c r="P179" s="97">
        <v>99613.7</v>
      </c>
      <c r="Q179" s="59" t="s">
        <v>123</v>
      </c>
    </row>
    <row r="180" spans="1:17" ht="60" customHeight="1">
      <c r="A180" s="59"/>
      <c r="B180" s="59"/>
      <c r="C180" s="55"/>
      <c r="D180" s="55" t="s">
        <v>168</v>
      </c>
      <c r="E180" s="55"/>
      <c r="F180" s="12" t="s">
        <v>235</v>
      </c>
      <c r="G180" s="63"/>
      <c r="H180" s="59"/>
      <c r="I180" s="96"/>
      <c r="J180" s="65"/>
      <c r="K180" s="65"/>
      <c r="L180" s="59"/>
      <c r="M180" s="64"/>
      <c r="N180" s="64"/>
      <c r="O180" s="64"/>
      <c r="P180" s="97"/>
      <c r="Q180" s="59"/>
    </row>
    <row r="181" spans="1:17" ht="51.75" customHeight="1">
      <c r="A181" s="12">
        <v>812</v>
      </c>
      <c r="B181" s="12" t="s">
        <v>222</v>
      </c>
      <c r="C181" s="22" t="s">
        <v>414</v>
      </c>
      <c r="D181" s="55" t="s">
        <v>163</v>
      </c>
      <c r="E181" s="55"/>
      <c r="F181" s="12" t="s">
        <v>322</v>
      </c>
      <c r="G181" s="13">
        <v>37686</v>
      </c>
      <c r="H181" s="12" t="s">
        <v>118</v>
      </c>
      <c r="I181" s="14" t="s">
        <v>104</v>
      </c>
      <c r="J181" s="14" t="s">
        <v>323</v>
      </c>
      <c r="K181" s="14" t="s">
        <v>146</v>
      </c>
      <c r="L181" s="12">
        <v>242</v>
      </c>
      <c r="M181" s="15">
        <v>3396</v>
      </c>
      <c r="N181" s="15">
        <v>3220.562</v>
      </c>
      <c r="O181" s="15">
        <v>3396</v>
      </c>
      <c r="P181" s="15">
        <f>O181</f>
        <v>3396</v>
      </c>
      <c r="Q181" s="12" t="s">
        <v>123</v>
      </c>
    </row>
    <row r="182" spans="1:17" ht="68.25" customHeight="1">
      <c r="A182" s="12">
        <v>812</v>
      </c>
      <c r="B182" s="12" t="s">
        <v>222</v>
      </c>
      <c r="C182" s="22" t="s">
        <v>618</v>
      </c>
      <c r="D182" s="45" t="s">
        <v>609</v>
      </c>
      <c r="E182" s="45"/>
      <c r="F182" s="12" t="s">
        <v>157</v>
      </c>
      <c r="G182" s="13">
        <v>44197</v>
      </c>
      <c r="H182" s="13">
        <v>45657</v>
      </c>
      <c r="I182" s="14" t="s">
        <v>104</v>
      </c>
      <c r="J182" s="14" t="s">
        <v>619</v>
      </c>
      <c r="K182" s="14" t="s">
        <v>620</v>
      </c>
      <c r="L182" s="12">
        <v>200</v>
      </c>
      <c r="M182" s="15">
        <v>0</v>
      </c>
      <c r="N182" s="15">
        <v>0</v>
      </c>
      <c r="O182" s="15">
        <v>0</v>
      </c>
      <c r="P182" s="15">
        <v>2463.7</v>
      </c>
      <c r="Q182" s="12" t="s">
        <v>123</v>
      </c>
    </row>
    <row r="183" spans="1:17" ht="79.5" customHeight="1">
      <c r="A183" s="12">
        <v>812</v>
      </c>
      <c r="B183" s="12" t="s">
        <v>223</v>
      </c>
      <c r="C183" s="22" t="s">
        <v>480</v>
      </c>
      <c r="D183" s="46" t="s">
        <v>564</v>
      </c>
      <c r="E183" s="130"/>
      <c r="F183" s="13" t="s">
        <v>384</v>
      </c>
      <c r="G183" s="13">
        <v>44197</v>
      </c>
      <c r="H183" s="13">
        <v>44561</v>
      </c>
      <c r="I183" s="14" t="s">
        <v>104</v>
      </c>
      <c r="J183" s="14" t="s">
        <v>427</v>
      </c>
      <c r="K183" s="14" t="s">
        <v>141</v>
      </c>
      <c r="L183" s="12">
        <v>242</v>
      </c>
      <c r="M183" s="15">
        <v>0</v>
      </c>
      <c r="N183" s="15">
        <v>0</v>
      </c>
      <c r="O183" s="15">
        <f>11592-1995.3</f>
        <v>9596.7</v>
      </c>
      <c r="P183" s="15">
        <v>0</v>
      </c>
      <c r="Q183" s="12" t="s">
        <v>119</v>
      </c>
    </row>
    <row r="184" spans="1:17" ht="90" customHeight="1">
      <c r="A184" s="12">
        <v>812</v>
      </c>
      <c r="B184" s="12" t="s">
        <v>223</v>
      </c>
      <c r="C184" s="22" t="s">
        <v>480</v>
      </c>
      <c r="D184" s="46" t="s">
        <v>634</v>
      </c>
      <c r="E184" s="130"/>
      <c r="F184" s="13" t="s">
        <v>384</v>
      </c>
      <c r="G184" s="13">
        <v>44197</v>
      </c>
      <c r="H184" s="13">
        <v>44926</v>
      </c>
      <c r="I184" s="14" t="s">
        <v>104</v>
      </c>
      <c r="J184" s="14" t="s">
        <v>318</v>
      </c>
      <c r="K184" s="14" t="s">
        <v>141</v>
      </c>
      <c r="L184" s="12">
        <v>242</v>
      </c>
      <c r="M184" s="15">
        <v>0</v>
      </c>
      <c r="N184" s="15">
        <v>0</v>
      </c>
      <c r="O184" s="15">
        <v>0</v>
      </c>
      <c r="P184" s="15">
        <v>18316.8</v>
      </c>
      <c r="Q184" s="12" t="s">
        <v>119</v>
      </c>
    </row>
    <row r="185" spans="1:17" ht="91.5" customHeight="1">
      <c r="A185" s="12">
        <v>812</v>
      </c>
      <c r="B185" s="12" t="s">
        <v>513</v>
      </c>
      <c r="C185" s="22" t="s">
        <v>514</v>
      </c>
      <c r="D185" s="55" t="s">
        <v>203</v>
      </c>
      <c r="E185" s="55"/>
      <c r="F185" s="12" t="s">
        <v>237</v>
      </c>
      <c r="G185" s="13">
        <v>44197</v>
      </c>
      <c r="H185" s="13">
        <v>45657</v>
      </c>
      <c r="I185" s="14" t="s">
        <v>104</v>
      </c>
      <c r="J185" s="14" t="s">
        <v>515</v>
      </c>
      <c r="K185" s="14" t="s">
        <v>112</v>
      </c>
      <c r="L185" s="12">
        <v>200</v>
      </c>
      <c r="M185" s="15">
        <v>0</v>
      </c>
      <c r="N185" s="15">
        <v>0</v>
      </c>
      <c r="O185" s="15">
        <v>1211.4</v>
      </c>
      <c r="P185" s="33">
        <v>0</v>
      </c>
      <c r="Q185" s="12" t="s">
        <v>119</v>
      </c>
    </row>
    <row r="186" spans="1:17" ht="94.5">
      <c r="A186" s="12">
        <v>812</v>
      </c>
      <c r="B186" s="12" t="s">
        <v>546</v>
      </c>
      <c r="C186" s="38" t="s">
        <v>547</v>
      </c>
      <c r="D186" s="79" t="s">
        <v>548</v>
      </c>
      <c r="E186" s="80"/>
      <c r="F186" s="12" t="s">
        <v>549</v>
      </c>
      <c r="G186" s="13">
        <v>44284</v>
      </c>
      <c r="H186" s="13">
        <v>44561</v>
      </c>
      <c r="I186" s="14" t="s">
        <v>104</v>
      </c>
      <c r="J186" s="14" t="s">
        <v>550</v>
      </c>
      <c r="K186" s="14" t="s">
        <v>112</v>
      </c>
      <c r="L186" s="12">
        <v>200</v>
      </c>
      <c r="M186" s="15">
        <v>0</v>
      </c>
      <c r="N186" s="15">
        <v>0</v>
      </c>
      <c r="O186" s="15">
        <v>1231.894</v>
      </c>
      <c r="P186" s="15">
        <v>0</v>
      </c>
      <c r="Q186" s="12" t="s">
        <v>120</v>
      </c>
    </row>
    <row r="187" spans="1:17" ht="38.25" customHeight="1">
      <c r="A187" s="59">
        <v>812</v>
      </c>
      <c r="B187" s="59" t="s">
        <v>571</v>
      </c>
      <c r="C187" s="55" t="s">
        <v>569</v>
      </c>
      <c r="D187" s="55" t="s">
        <v>203</v>
      </c>
      <c r="E187" s="55"/>
      <c r="F187" s="12" t="s">
        <v>187</v>
      </c>
      <c r="G187" s="63">
        <v>44382</v>
      </c>
      <c r="H187" s="63">
        <v>44561</v>
      </c>
      <c r="I187" s="65" t="s">
        <v>104</v>
      </c>
      <c r="J187" s="65" t="s">
        <v>572</v>
      </c>
      <c r="K187" s="65" t="s">
        <v>112</v>
      </c>
      <c r="L187" s="59">
        <v>241</v>
      </c>
      <c r="M187" s="64">
        <v>0</v>
      </c>
      <c r="N187" s="64">
        <v>0</v>
      </c>
      <c r="O187" s="64">
        <v>3450.2</v>
      </c>
      <c r="P187" s="64">
        <v>0</v>
      </c>
      <c r="Q187" s="59" t="s">
        <v>123</v>
      </c>
    </row>
    <row r="188" spans="1:17" ht="61.5" customHeight="1">
      <c r="A188" s="59"/>
      <c r="B188" s="59"/>
      <c r="C188" s="55"/>
      <c r="D188" s="55" t="s">
        <v>168</v>
      </c>
      <c r="E188" s="55"/>
      <c r="F188" s="12" t="s">
        <v>169</v>
      </c>
      <c r="G188" s="63"/>
      <c r="H188" s="59"/>
      <c r="I188" s="65"/>
      <c r="J188" s="65"/>
      <c r="K188" s="65"/>
      <c r="L188" s="59"/>
      <c r="M188" s="64"/>
      <c r="N188" s="64"/>
      <c r="O188" s="64"/>
      <c r="P188" s="64"/>
      <c r="Q188" s="59"/>
    </row>
    <row r="189" spans="1:17" ht="60.75" customHeight="1">
      <c r="A189" s="52">
        <v>812</v>
      </c>
      <c r="B189" s="60" t="s">
        <v>224</v>
      </c>
      <c r="C189" s="56" t="s">
        <v>211</v>
      </c>
      <c r="D189" s="55" t="s">
        <v>459</v>
      </c>
      <c r="E189" s="55"/>
      <c r="F189" s="12" t="s">
        <v>170</v>
      </c>
      <c r="G189" s="13">
        <v>43843</v>
      </c>
      <c r="H189" s="52" t="s">
        <v>7</v>
      </c>
      <c r="I189" s="60" t="s">
        <v>134</v>
      </c>
      <c r="J189" s="60" t="s">
        <v>299</v>
      </c>
      <c r="K189" s="14" t="s">
        <v>141</v>
      </c>
      <c r="L189" s="12">
        <v>300</v>
      </c>
      <c r="M189" s="15">
        <v>326.006</v>
      </c>
      <c r="N189" s="15">
        <v>326.006</v>
      </c>
      <c r="O189" s="15">
        <f>373.5+11.5</f>
        <v>385</v>
      </c>
      <c r="P189" s="15">
        <v>388.4</v>
      </c>
      <c r="Q189" s="52" t="s">
        <v>120</v>
      </c>
    </row>
    <row r="190" spans="1:17" ht="75" customHeight="1">
      <c r="A190" s="54"/>
      <c r="B190" s="62"/>
      <c r="C190" s="58"/>
      <c r="D190" s="75" t="s">
        <v>279</v>
      </c>
      <c r="E190" s="76"/>
      <c r="F190" s="12" t="s">
        <v>463</v>
      </c>
      <c r="G190" s="13">
        <v>42696</v>
      </c>
      <c r="H190" s="54"/>
      <c r="I190" s="62"/>
      <c r="J190" s="62"/>
      <c r="K190" s="14" t="s">
        <v>147</v>
      </c>
      <c r="L190" s="12">
        <v>200</v>
      </c>
      <c r="M190" s="15">
        <v>271</v>
      </c>
      <c r="N190" s="15">
        <v>267.85</v>
      </c>
      <c r="O190" s="15">
        <f>307.5-11.5</f>
        <v>296</v>
      </c>
      <c r="P190" s="15">
        <v>312</v>
      </c>
      <c r="Q190" s="54"/>
    </row>
    <row r="191" spans="1:17" ht="31.5" customHeight="1">
      <c r="A191" s="59">
        <v>812</v>
      </c>
      <c r="B191" s="65" t="s">
        <v>225</v>
      </c>
      <c r="C191" s="55" t="s">
        <v>330</v>
      </c>
      <c r="D191" s="55" t="s">
        <v>459</v>
      </c>
      <c r="E191" s="55"/>
      <c r="F191" s="59" t="s">
        <v>170</v>
      </c>
      <c r="G191" s="63">
        <v>43843</v>
      </c>
      <c r="H191" s="59" t="s">
        <v>7</v>
      </c>
      <c r="I191" s="65" t="s">
        <v>134</v>
      </c>
      <c r="J191" s="65" t="s">
        <v>193</v>
      </c>
      <c r="K191" s="14" t="s">
        <v>145</v>
      </c>
      <c r="L191" s="12">
        <v>200</v>
      </c>
      <c r="M191" s="15">
        <f>14854.11+46.064+4450.223</f>
        <v>19350.397</v>
      </c>
      <c r="N191" s="15">
        <f>14854.071+46.064+4376.626</f>
        <v>19276.761</v>
      </c>
      <c r="O191" s="28">
        <v>18996.9</v>
      </c>
      <c r="P191" s="15">
        <v>19670.2</v>
      </c>
      <c r="Q191" s="59" t="s">
        <v>123</v>
      </c>
    </row>
    <row r="192" spans="1:17" ht="30.75" customHeight="1">
      <c r="A192" s="59"/>
      <c r="B192" s="66"/>
      <c r="C192" s="67"/>
      <c r="D192" s="67"/>
      <c r="E192" s="67"/>
      <c r="F192" s="66"/>
      <c r="G192" s="66"/>
      <c r="H192" s="59"/>
      <c r="I192" s="66"/>
      <c r="J192" s="66"/>
      <c r="K192" s="14" t="s">
        <v>141</v>
      </c>
      <c r="L192" s="12" t="s">
        <v>114</v>
      </c>
      <c r="M192" s="15">
        <f>425.164+1981.828</f>
        <v>2406.992</v>
      </c>
      <c r="N192" s="15">
        <f>390.925+1862.921</f>
        <v>2253.846</v>
      </c>
      <c r="O192" s="28">
        <v>2845.6</v>
      </c>
      <c r="P192" s="15">
        <v>2546.2</v>
      </c>
      <c r="Q192" s="59"/>
    </row>
    <row r="193" spans="1:17" ht="27" customHeight="1">
      <c r="A193" s="59"/>
      <c r="B193" s="66"/>
      <c r="C193" s="67"/>
      <c r="D193" s="67"/>
      <c r="E193" s="67"/>
      <c r="F193" s="66"/>
      <c r="G193" s="66"/>
      <c r="H193" s="59"/>
      <c r="I193" s="66"/>
      <c r="J193" s="66"/>
      <c r="K193" s="14" t="s">
        <v>146</v>
      </c>
      <c r="L193" s="12">
        <v>200</v>
      </c>
      <c r="M193" s="15">
        <f>17.308+5.992</f>
        <v>23.3</v>
      </c>
      <c r="N193" s="15">
        <f>16.852+1.244</f>
        <v>18.096</v>
      </c>
      <c r="O193" s="15">
        <v>22</v>
      </c>
      <c r="P193" s="15">
        <f>O193</f>
        <v>22</v>
      </c>
      <c r="Q193" s="59"/>
    </row>
    <row r="194" spans="1:17" ht="36" customHeight="1">
      <c r="A194" s="20">
        <v>812</v>
      </c>
      <c r="B194" s="20" t="s">
        <v>251</v>
      </c>
      <c r="C194" s="25" t="s">
        <v>239</v>
      </c>
      <c r="D194" s="55" t="s">
        <v>525</v>
      </c>
      <c r="E194" s="67"/>
      <c r="F194" s="12" t="s">
        <v>437</v>
      </c>
      <c r="G194" s="19">
        <v>44197</v>
      </c>
      <c r="H194" s="19">
        <v>44561</v>
      </c>
      <c r="I194" s="23" t="s">
        <v>433</v>
      </c>
      <c r="J194" s="23" t="s">
        <v>302</v>
      </c>
      <c r="K194" s="23" t="s">
        <v>141</v>
      </c>
      <c r="L194" s="20">
        <v>300</v>
      </c>
      <c r="M194" s="29">
        <v>1083.4</v>
      </c>
      <c r="N194" s="29">
        <v>1081.937</v>
      </c>
      <c r="O194" s="29">
        <v>1092.3</v>
      </c>
      <c r="P194" s="29">
        <v>1043.8</v>
      </c>
      <c r="Q194" s="20" t="s">
        <v>119</v>
      </c>
    </row>
    <row r="195" spans="1:17" ht="249" customHeight="1">
      <c r="A195" s="12">
        <v>812</v>
      </c>
      <c r="B195" s="12" t="s">
        <v>396</v>
      </c>
      <c r="C195" s="22" t="s">
        <v>372</v>
      </c>
      <c r="D195" s="55" t="s">
        <v>525</v>
      </c>
      <c r="E195" s="67"/>
      <c r="F195" s="12" t="s">
        <v>436</v>
      </c>
      <c r="G195" s="19">
        <v>44197</v>
      </c>
      <c r="H195" s="19">
        <v>44561</v>
      </c>
      <c r="I195" s="14" t="s">
        <v>433</v>
      </c>
      <c r="J195" s="14" t="s">
        <v>373</v>
      </c>
      <c r="K195" s="14" t="s">
        <v>141</v>
      </c>
      <c r="L195" s="12">
        <v>300</v>
      </c>
      <c r="M195" s="15">
        <v>18.4</v>
      </c>
      <c r="N195" s="15">
        <v>0</v>
      </c>
      <c r="O195" s="15">
        <v>17.2</v>
      </c>
      <c r="P195" s="33">
        <v>16.3</v>
      </c>
      <c r="Q195" s="12" t="s">
        <v>119</v>
      </c>
    </row>
    <row r="196" spans="1:17" ht="166.5" customHeight="1">
      <c r="A196" s="12">
        <v>812</v>
      </c>
      <c r="B196" s="12" t="s">
        <v>506</v>
      </c>
      <c r="C196" s="39" t="s">
        <v>507</v>
      </c>
      <c r="D196" s="79" t="s">
        <v>595</v>
      </c>
      <c r="E196" s="80"/>
      <c r="F196" s="12" t="s">
        <v>508</v>
      </c>
      <c r="G196" s="13">
        <v>44219</v>
      </c>
      <c r="H196" s="13">
        <v>44561</v>
      </c>
      <c r="I196" s="14" t="s">
        <v>433</v>
      </c>
      <c r="J196" s="14" t="s">
        <v>509</v>
      </c>
      <c r="K196" s="14" t="s">
        <v>141</v>
      </c>
      <c r="L196" s="12">
        <v>300</v>
      </c>
      <c r="M196" s="15">
        <v>0</v>
      </c>
      <c r="N196" s="15">
        <v>0</v>
      </c>
      <c r="O196" s="15">
        <f>2112.9+623.7+376.4</f>
        <v>3113.0000000000005</v>
      </c>
      <c r="P196" s="15">
        <v>0</v>
      </c>
      <c r="Q196" s="12" t="s">
        <v>120</v>
      </c>
    </row>
    <row r="197" spans="1:17" ht="149.25" customHeight="1">
      <c r="A197" s="12">
        <v>812</v>
      </c>
      <c r="B197" s="12" t="s">
        <v>576</v>
      </c>
      <c r="C197" s="40" t="s">
        <v>577</v>
      </c>
      <c r="D197" s="79" t="s">
        <v>581</v>
      </c>
      <c r="E197" s="80"/>
      <c r="F197" s="12" t="s">
        <v>508</v>
      </c>
      <c r="G197" s="13">
        <v>44219</v>
      </c>
      <c r="H197" s="13">
        <v>44561</v>
      </c>
      <c r="I197" s="14" t="s">
        <v>433</v>
      </c>
      <c r="J197" s="41" t="s">
        <v>578</v>
      </c>
      <c r="K197" s="14" t="s">
        <v>58</v>
      </c>
      <c r="L197" s="12">
        <v>200</v>
      </c>
      <c r="M197" s="15">
        <v>0</v>
      </c>
      <c r="N197" s="15">
        <v>0</v>
      </c>
      <c r="O197" s="15">
        <v>428</v>
      </c>
      <c r="P197" s="15">
        <v>0</v>
      </c>
      <c r="Q197" s="12" t="s">
        <v>120</v>
      </c>
    </row>
    <row r="198" spans="1:17" ht="150.75" customHeight="1">
      <c r="A198" s="12">
        <v>812</v>
      </c>
      <c r="B198" s="12" t="s">
        <v>5</v>
      </c>
      <c r="C198" s="22" t="s">
        <v>67</v>
      </c>
      <c r="D198" s="55" t="s">
        <v>464</v>
      </c>
      <c r="E198" s="55"/>
      <c r="F198" s="12" t="s">
        <v>159</v>
      </c>
      <c r="G198" s="13">
        <v>43623</v>
      </c>
      <c r="H198" s="12" t="s">
        <v>7</v>
      </c>
      <c r="I198" s="14" t="s">
        <v>140</v>
      </c>
      <c r="J198" s="14" t="s">
        <v>300</v>
      </c>
      <c r="K198" s="14" t="s">
        <v>141</v>
      </c>
      <c r="L198" s="12" t="s">
        <v>114</v>
      </c>
      <c r="M198" s="15">
        <v>14101.17</v>
      </c>
      <c r="N198" s="15">
        <v>14044.509</v>
      </c>
      <c r="O198" s="15">
        <v>21704</v>
      </c>
      <c r="P198" s="15">
        <v>21704</v>
      </c>
      <c r="Q198" s="12" t="s">
        <v>123</v>
      </c>
    </row>
    <row r="199" spans="1:17" ht="117.75" customHeight="1">
      <c r="A199" s="20">
        <v>812</v>
      </c>
      <c r="B199" s="20" t="s">
        <v>64</v>
      </c>
      <c r="C199" s="25" t="s">
        <v>374</v>
      </c>
      <c r="D199" s="55" t="s">
        <v>525</v>
      </c>
      <c r="E199" s="67"/>
      <c r="F199" s="12" t="s">
        <v>448</v>
      </c>
      <c r="G199" s="19">
        <v>44197</v>
      </c>
      <c r="H199" s="19">
        <v>44561</v>
      </c>
      <c r="I199" s="23" t="s">
        <v>140</v>
      </c>
      <c r="J199" s="23" t="s">
        <v>375</v>
      </c>
      <c r="K199" s="23" t="s">
        <v>141</v>
      </c>
      <c r="L199" s="20">
        <v>300</v>
      </c>
      <c r="M199" s="29">
        <v>2737.6</v>
      </c>
      <c r="N199" s="29">
        <v>2465.103</v>
      </c>
      <c r="O199" s="29">
        <v>3089.7</v>
      </c>
      <c r="P199" s="29">
        <v>2967.9</v>
      </c>
      <c r="Q199" s="20" t="s">
        <v>119</v>
      </c>
    </row>
    <row r="200" spans="1:17" ht="108" customHeight="1">
      <c r="A200" s="59">
        <v>812</v>
      </c>
      <c r="B200" s="59" t="s">
        <v>34</v>
      </c>
      <c r="C200" s="55" t="s">
        <v>351</v>
      </c>
      <c r="D200" s="55" t="s">
        <v>460</v>
      </c>
      <c r="E200" s="55"/>
      <c r="F200" s="12" t="s">
        <v>187</v>
      </c>
      <c r="G200" s="63" t="s">
        <v>21</v>
      </c>
      <c r="H200" s="59" t="s">
        <v>7</v>
      </c>
      <c r="I200" s="65" t="s">
        <v>140</v>
      </c>
      <c r="J200" s="65" t="s">
        <v>301</v>
      </c>
      <c r="K200" s="65" t="s">
        <v>112</v>
      </c>
      <c r="L200" s="59">
        <v>241</v>
      </c>
      <c r="M200" s="64">
        <v>30075.35</v>
      </c>
      <c r="N200" s="64">
        <v>3075.35</v>
      </c>
      <c r="O200" s="64">
        <v>32651.2</v>
      </c>
      <c r="P200" s="97">
        <v>33230.7</v>
      </c>
      <c r="Q200" s="59" t="s">
        <v>123</v>
      </c>
    </row>
    <row r="201" spans="1:17" ht="61.5" customHeight="1">
      <c r="A201" s="59"/>
      <c r="B201" s="59"/>
      <c r="C201" s="55"/>
      <c r="D201" s="55" t="s">
        <v>168</v>
      </c>
      <c r="E201" s="55"/>
      <c r="F201" s="12" t="s">
        <v>171</v>
      </c>
      <c r="G201" s="63"/>
      <c r="H201" s="59"/>
      <c r="I201" s="65"/>
      <c r="J201" s="65"/>
      <c r="K201" s="65"/>
      <c r="L201" s="59"/>
      <c r="M201" s="64"/>
      <c r="N201" s="64"/>
      <c r="O201" s="64"/>
      <c r="P201" s="97"/>
      <c r="Q201" s="59"/>
    </row>
    <row r="202" spans="1:17" ht="216.75" customHeight="1">
      <c r="A202" s="12">
        <v>812</v>
      </c>
      <c r="B202" s="12" t="s">
        <v>586</v>
      </c>
      <c r="C202" s="24" t="s">
        <v>587</v>
      </c>
      <c r="D202" s="45" t="s">
        <v>596</v>
      </c>
      <c r="E202" s="45"/>
      <c r="F202" s="12" t="s">
        <v>588</v>
      </c>
      <c r="G202" s="19">
        <v>44397</v>
      </c>
      <c r="H202" s="19">
        <v>44561</v>
      </c>
      <c r="I202" s="14" t="s">
        <v>140</v>
      </c>
      <c r="J202" s="12">
        <v>6040458490</v>
      </c>
      <c r="K202" s="14" t="s">
        <v>58</v>
      </c>
      <c r="L202" s="12">
        <v>200</v>
      </c>
      <c r="M202" s="15">
        <v>0</v>
      </c>
      <c r="N202" s="15">
        <v>0</v>
      </c>
      <c r="O202" s="15">
        <f>2603.7+4877.4</f>
        <v>7481.099999999999</v>
      </c>
      <c r="P202" s="15">
        <v>0</v>
      </c>
      <c r="Q202" s="34" t="s">
        <v>120</v>
      </c>
    </row>
    <row r="203" spans="1:17" ht="192.75" customHeight="1">
      <c r="A203" s="12">
        <v>812</v>
      </c>
      <c r="B203" s="12" t="s">
        <v>541</v>
      </c>
      <c r="C203" s="38" t="s">
        <v>542</v>
      </c>
      <c r="D203" s="79" t="s">
        <v>543</v>
      </c>
      <c r="E203" s="80"/>
      <c r="F203" s="12" t="s">
        <v>544</v>
      </c>
      <c r="G203" s="13">
        <v>44278</v>
      </c>
      <c r="H203" s="13">
        <v>44561</v>
      </c>
      <c r="I203" s="14" t="s">
        <v>140</v>
      </c>
      <c r="J203" s="14" t="s">
        <v>545</v>
      </c>
      <c r="K203" s="14" t="s">
        <v>58</v>
      </c>
      <c r="L203" s="12">
        <v>200</v>
      </c>
      <c r="M203" s="15">
        <v>0</v>
      </c>
      <c r="N203" s="15">
        <v>0</v>
      </c>
      <c r="O203" s="15">
        <v>34188.3</v>
      </c>
      <c r="P203" s="15">
        <v>0</v>
      </c>
      <c r="Q203" s="12" t="s">
        <v>120</v>
      </c>
    </row>
    <row r="204" spans="1:17" ht="33" customHeight="1">
      <c r="A204" s="52">
        <v>812</v>
      </c>
      <c r="B204" s="59" t="s">
        <v>17</v>
      </c>
      <c r="C204" s="55" t="s">
        <v>333</v>
      </c>
      <c r="D204" s="55" t="s">
        <v>368</v>
      </c>
      <c r="E204" s="55"/>
      <c r="F204" s="59" t="s">
        <v>369</v>
      </c>
      <c r="G204" s="63">
        <v>43221</v>
      </c>
      <c r="H204" s="59" t="s">
        <v>7</v>
      </c>
      <c r="I204" s="65" t="s">
        <v>140</v>
      </c>
      <c r="J204" s="65" t="s">
        <v>193</v>
      </c>
      <c r="K204" s="14" t="s">
        <v>145</v>
      </c>
      <c r="L204" s="12">
        <v>200</v>
      </c>
      <c r="M204" s="15">
        <f>9067.34+2691.913</f>
        <v>11759.253</v>
      </c>
      <c r="N204" s="15">
        <f>9067.321+2668.174</f>
        <v>11735.494999999999</v>
      </c>
      <c r="O204" s="27">
        <v>12456.1</v>
      </c>
      <c r="P204" s="33">
        <v>12841.1</v>
      </c>
      <c r="Q204" s="59" t="s">
        <v>123</v>
      </c>
    </row>
    <row r="205" spans="1:17" ht="33" customHeight="1">
      <c r="A205" s="53"/>
      <c r="B205" s="59"/>
      <c r="C205" s="55"/>
      <c r="D205" s="67"/>
      <c r="E205" s="67"/>
      <c r="F205" s="66"/>
      <c r="G205" s="63"/>
      <c r="H205" s="59"/>
      <c r="I205" s="65"/>
      <c r="J205" s="65"/>
      <c r="K205" s="14" t="s">
        <v>141</v>
      </c>
      <c r="L205" s="12" t="s">
        <v>114</v>
      </c>
      <c r="M205" s="15">
        <f>544.39+984.61</f>
        <v>1529</v>
      </c>
      <c r="N205" s="15">
        <f>521.415+882.898</f>
        <v>1404.313</v>
      </c>
      <c r="O205" s="15">
        <f>2410.4+228.7+43</f>
        <v>2682.1</v>
      </c>
      <c r="P205" s="33">
        <v>2800.02</v>
      </c>
      <c r="Q205" s="59"/>
    </row>
    <row r="206" spans="1:17" ht="36" customHeight="1">
      <c r="A206" s="53"/>
      <c r="B206" s="59"/>
      <c r="C206" s="55"/>
      <c r="D206" s="67"/>
      <c r="E206" s="67"/>
      <c r="F206" s="66"/>
      <c r="G206" s="63"/>
      <c r="H206" s="59"/>
      <c r="I206" s="65"/>
      <c r="J206" s="65"/>
      <c r="K206" s="14" t="s">
        <v>147</v>
      </c>
      <c r="L206" s="12">
        <v>200</v>
      </c>
      <c r="M206" s="15">
        <v>207.046</v>
      </c>
      <c r="N206" s="15">
        <v>207.046</v>
      </c>
      <c r="O206" s="15">
        <v>0</v>
      </c>
      <c r="P206" s="33">
        <v>0</v>
      </c>
      <c r="Q206" s="59"/>
    </row>
    <row r="207" spans="1:17" ht="30.75" customHeight="1">
      <c r="A207" s="54"/>
      <c r="B207" s="59"/>
      <c r="C207" s="55"/>
      <c r="D207" s="67"/>
      <c r="E207" s="67"/>
      <c r="F207" s="66"/>
      <c r="G207" s="63"/>
      <c r="H207" s="59"/>
      <c r="I207" s="65"/>
      <c r="J207" s="59"/>
      <c r="K207" s="12">
        <v>800</v>
      </c>
      <c r="L207" s="12">
        <v>200</v>
      </c>
      <c r="M207" s="15">
        <f>13.66+6.74</f>
        <v>20.4</v>
      </c>
      <c r="N207" s="15">
        <f>12.851+1.01023</f>
        <v>13.86123</v>
      </c>
      <c r="O207" s="15">
        <v>10.6</v>
      </c>
      <c r="P207" s="33">
        <v>11.9</v>
      </c>
      <c r="Q207" s="59"/>
    </row>
    <row r="208" spans="1:17" ht="42.75" customHeight="1">
      <c r="A208" s="59">
        <v>812</v>
      </c>
      <c r="B208" s="59" t="s">
        <v>35</v>
      </c>
      <c r="C208" s="55" t="s">
        <v>213</v>
      </c>
      <c r="D208" s="55" t="s">
        <v>465</v>
      </c>
      <c r="E208" s="55"/>
      <c r="F208" s="52" t="s">
        <v>187</v>
      </c>
      <c r="G208" s="63">
        <v>43901</v>
      </c>
      <c r="H208" s="59" t="s">
        <v>7</v>
      </c>
      <c r="I208" s="65" t="s">
        <v>10</v>
      </c>
      <c r="J208" s="65" t="s">
        <v>303</v>
      </c>
      <c r="K208" s="14" t="s">
        <v>141</v>
      </c>
      <c r="L208" s="12">
        <v>200</v>
      </c>
      <c r="M208" s="15">
        <v>125</v>
      </c>
      <c r="N208" s="15">
        <v>112.233</v>
      </c>
      <c r="O208" s="15">
        <f>127.5-4</f>
        <v>123.5</v>
      </c>
      <c r="P208" s="15">
        <v>112</v>
      </c>
      <c r="Q208" s="59" t="s">
        <v>120</v>
      </c>
    </row>
    <row r="209" spans="1:17" ht="31.5" customHeight="1">
      <c r="A209" s="59"/>
      <c r="B209" s="59"/>
      <c r="C209" s="55"/>
      <c r="D209" s="67"/>
      <c r="E209" s="67"/>
      <c r="F209" s="54"/>
      <c r="G209" s="59"/>
      <c r="H209" s="59"/>
      <c r="I209" s="65"/>
      <c r="J209" s="65"/>
      <c r="K209" s="14" t="s">
        <v>147</v>
      </c>
      <c r="L209" s="12">
        <v>200</v>
      </c>
      <c r="M209" s="15">
        <v>23714.32</v>
      </c>
      <c r="N209" s="15">
        <v>23714.32</v>
      </c>
      <c r="O209" s="15">
        <f>18820.5+4120</f>
        <v>22940.5</v>
      </c>
      <c r="P209" s="15">
        <v>23715</v>
      </c>
      <c r="Q209" s="59"/>
    </row>
    <row r="210" spans="1:17" ht="104.25" customHeight="1">
      <c r="A210" s="59">
        <v>812</v>
      </c>
      <c r="B210" s="59" t="s">
        <v>36</v>
      </c>
      <c r="C210" s="55" t="s">
        <v>352</v>
      </c>
      <c r="D210" s="55" t="s">
        <v>460</v>
      </c>
      <c r="E210" s="55"/>
      <c r="F210" s="12" t="s">
        <v>187</v>
      </c>
      <c r="G210" s="63" t="s">
        <v>21</v>
      </c>
      <c r="H210" s="63" t="s">
        <v>7</v>
      </c>
      <c r="I210" s="65" t="s">
        <v>129</v>
      </c>
      <c r="J210" s="65" t="s">
        <v>304</v>
      </c>
      <c r="K210" s="65" t="s">
        <v>112</v>
      </c>
      <c r="L210" s="59">
        <v>241</v>
      </c>
      <c r="M210" s="64">
        <v>38123.2</v>
      </c>
      <c r="N210" s="64">
        <v>38123.2</v>
      </c>
      <c r="O210" s="64">
        <v>44763.8</v>
      </c>
      <c r="P210" s="97">
        <v>49193</v>
      </c>
      <c r="Q210" s="59" t="s">
        <v>123</v>
      </c>
    </row>
    <row r="211" spans="1:17" ht="60.75" customHeight="1">
      <c r="A211" s="59"/>
      <c r="B211" s="59"/>
      <c r="C211" s="55"/>
      <c r="D211" s="55" t="s">
        <v>168</v>
      </c>
      <c r="E211" s="55"/>
      <c r="F211" s="12" t="s">
        <v>171</v>
      </c>
      <c r="G211" s="63"/>
      <c r="H211" s="63"/>
      <c r="I211" s="65"/>
      <c r="J211" s="65"/>
      <c r="K211" s="65"/>
      <c r="L211" s="59"/>
      <c r="M211" s="64"/>
      <c r="N211" s="64"/>
      <c r="O211" s="64"/>
      <c r="P211" s="97"/>
      <c r="Q211" s="59"/>
    </row>
    <row r="212" spans="1:17" ht="87" customHeight="1">
      <c r="A212" s="20">
        <v>812</v>
      </c>
      <c r="B212" s="20" t="s">
        <v>496</v>
      </c>
      <c r="C212" s="31" t="s">
        <v>551</v>
      </c>
      <c r="D212" s="55" t="s">
        <v>203</v>
      </c>
      <c r="E212" s="55"/>
      <c r="F212" s="12" t="s">
        <v>187</v>
      </c>
      <c r="G212" s="19">
        <v>44197</v>
      </c>
      <c r="H212" s="19">
        <v>44561</v>
      </c>
      <c r="I212" s="23" t="s">
        <v>129</v>
      </c>
      <c r="J212" s="23" t="s">
        <v>497</v>
      </c>
      <c r="K212" s="14" t="s">
        <v>112</v>
      </c>
      <c r="L212" s="12">
        <v>200</v>
      </c>
      <c r="M212" s="15">
        <v>0</v>
      </c>
      <c r="N212" s="15">
        <v>0</v>
      </c>
      <c r="O212" s="15">
        <f>590.67-21.96583</f>
        <v>568.70417</v>
      </c>
      <c r="P212" s="33">
        <v>0</v>
      </c>
      <c r="Q212" s="12" t="s">
        <v>119</v>
      </c>
    </row>
    <row r="213" spans="1:17" ht="90" customHeight="1">
      <c r="A213" s="12">
        <v>812</v>
      </c>
      <c r="B213" s="12" t="s">
        <v>516</v>
      </c>
      <c r="C213" s="22" t="s">
        <v>517</v>
      </c>
      <c r="D213" s="55" t="s">
        <v>203</v>
      </c>
      <c r="E213" s="55"/>
      <c r="F213" s="12" t="s">
        <v>237</v>
      </c>
      <c r="G213" s="13">
        <v>44197</v>
      </c>
      <c r="H213" s="13">
        <v>45657</v>
      </c>
      <c r="I213" s="14" t="s">
        <v>129</v>
      </c>
      <c r="J213" s="14" t="s">
        <v>518</v>
      </c>
      <c r="K213" s="14" t="s">
        <v>112</v>
      </c>
      <c r="L213" s="12">
        <v>200</v>
      </c>
      <c r="M213" s="15">
        <v>0</v>
      </c>
      <c r="N213" s="15">
        <v>0</v>
      </c>
      <c r="O213" s="15">
        <v>878.15</v>
      </c>
      <c r="P213" s="33">
        <v>0</v>
      </c>
      <c r="Q213" s="12" t="s">
        <v>119</v>
      </c>
    </row>
    <row r="214" spans="1:17" ht="34.5" customHeight="1">
      <c r="A214" s="52">
        <v>812</v>
      </c>
      <c r="B214" s="52" t="s">
        <v>252</v>
      </c>
      <c r="C214" s="93" t="s">
        <v>428</v>
      </c>
      <c r="D214" s="71" t="s">
        <v>216</v>
      </c>
      <c r="E214" s="131"/>
      <c r="F214" s="52" t="s">
        <v>172</v>
      </c>
      <c r="G214" s="85">
        <v>44197</v>
      </c>
      <c r="H214" s="85">
        <v>44561</v>
      </c>
      <c r="I214" s="60" t="s">
        <v>142</v>
      </c>
      <c r="J214" s="60" t="s">
        <v>386</v>
      </c>
      <c r="K214" s="14" t="s">
        <v>145</v>
      </c>
      <c r="L214" s="12">
        <v>200</v>
      </c>
      <c r="M214" s="15">
        <f>264.6+79.9</f>
        <v>344.5</v>
      </c>
      <c r="N214" s="15">
        <f>257.439+66.852</f>
        <v>324.29100000000005</v>
      </c>
      <c r="O214" s="15">
        <v>227.9</v>
      </c>
      <c r="P214" s="15">
        <v>154.8</v>
      </c>
      <c r="Q214" s="52" t="s">
        <v>119</v>
      </c>
    </row>
    <row r="215" spans="1:17" ht="34.5" customHeight="1">
      <c r="A215" s="132"/>
      <c r="B215" s="132" t="s">
        <v>385</v>
      </c>
      <c r="C215" s="133"/>
      <c r="D215" s="134"/>
      <c r="E215" s="135"/>
      <c r="F215" s="132"/>
      <c r="G215" s="132"/>
      <c r="H215" s="132"/>
      <c r="I215" s="132"/>
      <c r="J215" s="132"/>
      <c r="K215" s="14" t="s">
        <v>141</v>
      </c>
      <c r="L215" s="12" t="s">
        <v>114</v>
      </c>
      <c r="M215" s="15">
        <f>52.2+355</f>
        <v>407.2</v>
      </c>
      <c r="N215" s="15">
        <f>52.2+293.268</f>
        <v>345.46799999999996</v>
      </c>
      <c r="O215" s="15">
        <v>184.3</v>
      </c>
      <c r="P215" s="15">
        <v>179.4</v>
      </c>
      <c r="Q215" s="132"/>
    </row>
    <row r="216" spans="1:17" ht="27.75" customHeight="1">
      <c r="A216" s="132"/>
      <c r="B216" s="132" t="s">
        <v>385</v>
      </c>
      <c r="C216" s="133"/>
      <c r="D216" s="55" t="s">
        <v>525</v>
      </c>
      <c r="E216" s="67"/>
      <c r="F216" s="55" t="s">
        <v>438</v>
      </c>
      <c r="G216" s="132"/>
      <c r="H216" s="132"/>
      <c r="I216" s="132"/>
      <c r="J216" s="132"/>
      <c r="K216" s="14" t="s">
        <v>147</v>
      </c>
      <c r="L216" s="12">
        <v>200</v>
      </c>
      <c r="M216" s="15">
        <f>26254.7+222</f>
        <v>26476.7</v>
      </c>
      <c r="N216" s="15">
        <f>25457.143+208.024</f>
        <v>25665.167</v>
      </c>
      <c r="O216" s="15">
        <v>14131.2</v>
      </c>
      <c r="P216" s="15">
        <v>12359.2</v>
      </c>
      <c r="Q216" s="132"/>
    </row>
    <row r="217" spans="1:19" ht="21.75" customHeight="1">
      <c r="A217" s="89"/>
      <c r="B217" s="89" t="s">
        <v>385</v>
      </c>
      <c r="C217" s="136"/>
      <c r="D217" s="67"/>
      <c r="E217" s="67"/>
      <c r="F217" s="67"/>
      <c r="G217" s="89"/>
      <c r="H217" s="89"/>
      <c r="I217" s="89"/>
      <c r="J217" s="89"/>
      <c r="K217" s="14" t="s">
        <v>58</v>
      </c>
      <c r="L217" s="12">
        <v>200</v>
      </c>
      <c r="M217" s="15">
        <v>838.6</v>
      </c>
      <c r="N217" s="15">
        <v>788.67</v>
      </c>
      <c r="O217" s="15">
        <v>1196.9</v>
      </c>
      <c r="P217" s="15">
        <v>1342.6</v>
      </c>
      <c r="Q217" s="89"/>
      <c r="S217" s="44"/>
    </row>
    <row r="218" spans="1:17" ht="51" customHeight="1">
      <c r="A218" s="12">
        <v>812</v>
      </c>
      <c r="B218" s="12" t="s">
        <v>18</v>
      </c>
      <c r="C218" s="22" t="s">
        <v>228</v>
      </c>
      <c r="D218" s="55" t="s">
        <v>275</v>
      </c>
      <c r="E218" s="55"/>
      <c r="F218" s="12" t="s">
        <v>189</v>
      </c>
      <c r="G218" s="13">
        <v>40544</v>
      </c>
      <c r="H218" s="12" t="s">
        <v>7</v>
      </c>
      <c r="I218" s="14" t="s">
        <v>142</v>
      </c>
      <c r="J218" s="14" t="s">
        <v>309</v>
      </c>
      <c r="K218" s="14" t="s">
        <v>147</v>
      </c>
      <c r="L218" s="12">
        <v>200</v>
      </c>
      <c r="M218" s="15">
        <v>69941.1</v>
      </c>
      <c r="N218" s="15">
        <v>69941.1</v>
      </c>
      <c r="O218" s="15">
        <v>76635.3</v>
      </c>
      <c r="P218" s="15">
        <v>80882.8</v>
      </c>
      <c r="Q218" s="12" t="s">
        <v>120</v>
      </c>
    </row>
    <row r="219" spans="1:17" ht="29.25" customHeight="1">
      <c r="A219" s="59">
        <v>812</v>
      </c>
      <c r="B219" s="59" t="s">
        <v>4</v>
      </c>
      <c r="C219" s="55" t="s">
        <v>22</v>
      </c>
      <c r="D219" s="71" t="s">
        <v>525</v>
      </c>
      <c r="E219" s="72"/>
      <c r="F219" s="59" t="s">
        <v>439</v>
      </c>
      <c r="G219" s="63">
        <v>44197</v>
      </c>
      <c r="H219" s="63">
        <v>44561</v>
      </c>
      <c r="I219" s="65" t="s">
        <v>142</v>
      </c>
      <c r="J219" s="65" t="s">
        <v>305</v>
      </c>
      <c r="K219" s="14" t="s">
        <v>141</v>
      </c>
      <c r="L219" s="59">
        <v>200</v>
      </c>
      <c r="M219" s="15">
        <v>1.5</v>
      </c>
      <c r="N219" s="15">
        <v>1.049</v>
      </c>
      <c r="O219" s="15">
        <v>1.2</v>
      </c>
      <c r="P219" s="15">
        <v>0</v>
      </c>
      <c r="Q219" s="59" t="s">
        <v>119</v>
      </c>
    </row>
    <row r="220" spans="1:17" ht="30" customHeight="1">
      <c r="A220" s="66"/>
      <c r="B220" s="59"/>
      <c r="C220" s="55"/>
      <c r="D220" s="73"/>
      <c r="E220" s="74"/>
      <c r="F220" s="59"/>
      <c r="G220" s="63"/>
      <c r="H220" s="63"/>
      <c r="I220" s="65"/>
      <c r="J220" s="65"/>
      <c r="K220" s="14" t="s">
        <v>147</v>
      </c>
      <c r="L220" s="59"/>
      <c r="M220" s="15">
        <v>123.5</v>
      </c>
      <c r="N220" s="15">
        <v>112.687</v>
      </c>
      <c r="O220" s="15">
        <v>120.8</v>
      </c>
      <c r="P220" s="15">
        <v>0</v>
      </c>
      <c r="Q220" s="59"/>
    </row>
    <row r="221" spans="1:17" ht="27.75" customHeight="1">
      <c r="A221" s="59">
        <v>812</v>
      </c>
      <c r="B221" s="59" t="s">
        <v>68</v>
      </c>
      <c r="C221" s="56" t="s">
        <v>248</v>
      </c>
      <c r="D221" s="71" t="s">
        <v>525</v>
      </c>
      <c r="E221" s="72"/>
      <c r="F221" s="59" t="s">
        <v>440</v>
      </c>
      <c r="G221" s="63">
        <v>44197</v>
      </c>
      <c r="H221" s="63">
        <v>44561</v>
      </c>
      <c r="I221" s="60" t="s">
        <v>142</v>
      </c>
      <c r="J221" s="60" t="s">
        <v>306</v>
      </c>
      <c r="K221" s="14" t="s">
        <v>141</v>
      </c>
      <c r="L221" s="52">
        <v>200</v>
      </c>
      <c r="M221" s="15">
        <v>3.2</v>
      </c>
      <c r="N221" s="15">
        <v>1.748</v>
      </c>
      <c r="O221" s="15">
        <v>2</v>
      </c>
      <c r="P221" s="15">
        <v>3.2</v>
      </c>
      <c r="Q221" s="59" t="s">
        <v>119</v>
      </c>
    </row>
    <row r="222" spans="1:17" ht="60" customHeight="1">
      <c r="A222" s="66"/>
      <c r="B222" s="59"/>
      <c r="C222" s="58"/>
      <c r="D222" s="73"/>
      <c r="E222" s="74"/>
      <c r="F222" s="66"/>
      <c r="G222" s="63"/>
      <c r="H222" s="63"/>
      <c r="I222" s="62"/>
      <c r="J222" s="62"/>
      <c r="K222" s="14" t="s">
        <v>147</v>
      </c>
      <c r="L222" s="54"/>
      <c r="M222" s="15">
        <v>218.6</v>
      </c>
      <c r="N222" s="15">
        <v>174.844</v>
      </c>
      <c r="O222" s="15">
        <v>226.6</v>
      </c>
      <c r="P222" s="15">
        <v>236</v>
      </c>
      <c r="Q222" s="59"/>
    </row>
    <row r="223" spans="1:17" ht="43.5" customHeight="1">
      <c r="A223" s="59">
        <v>812</v>
      </c>
      <c r="B223" s="59" t="s">
        <v>69</v>
      </c>
      <c r="C223" s="55" t="s">
        <v>150</v>
      </c>
      <c r="D223" s="46" t="s">
        <v>525</v>
      </c>
      <c r="E223" s="47"/>
      <c r="F223" s="20" t="s">
        <v>441</v>
      </c>
      <c r="G223" s="63">
        <v>44197</v>
      </c>
      <c r="H223" s="63">
        <v>44561</v>
      </c>
      <c r="I223" s="59">
        <v>1003</v>
      </c>
      <c r="J223" s="59">
        <v>7020052500</v>
      </c>
      <c r="K223" s="14" t="s">
        <v>141</v>
      </c>
      <c r="L223" s="59">
        <v>200</v>
      </c>
      <c r="M223" s="15">
        <v>85.3</v>
      </c>
      <c r="N223" s="15">
        <v>72.71</v>
      </c>
      <c r="O223" s="15">
        <v>62.6</v>
      </c>
      <c r="P223" s="15">
        <v>51.2</v>
      </c>
      <c r="Q223" s="59" t="s">
        <v>119</v>
      </c>
    </row>
    <row r="224" spans="1:17" ht="67.5" customHeight="1">
      <c r="A224" s="66"/>
      <c r="B224" s="59"/>
      <c r="C224" s="55"/>
      <c r="D224" s="75" t="s">
        <v>259</v>
      </c>
      <c r="E224" s="76"/>
      <c r="F224" s="42" t="s">
        <v>260</v>
      </c>
      <c r="G224" s="63"/>
      <c r="H224" s="63"/>
      <c r="I224" s="59"/>
      <c r="J224" s="59"/>
      <c r="K224" s="14" t="s">
        <v>147</v>
      </c>
      <c r="L224" s="59"/>
      <c r="M224" s="15">
        <v>6831.3</v>
      </c>
      <c r="N224" s="15">
        <v>6783.859</v>
      </c>
      <c r="O224" s="15">
        <v>5790.1</v>
      </c>
      <c r="P224" s="15">
        <v>4602.4</v>
      </c>
      <c r="Q224" s="59"/>
    </row>
    <row r="225" spans="1:17" ht="45.75" customHeight="1">
      <c r="A225" s="59">
        <v>812</v>
      </c>
      <c r="B225" s="59" t="s">
        <v>37</v>
      </c>
      <c r="C225" s="55" t="s">
        <v>70</v>
      </c>
      <c r="D225" s="55" t="s">
        <v>467</v>
      </c>
      <c r="E225" s="55"/>
      <c r="F225" s="59" t="s">
        <v>466</v>
      </c>
      <c r="G225" s="63">
        <v>40151</v>
      </c>
      <c r="H225" s="59" t="s">
        <v>118</v>
      </c>
      <c r="I225" s="59">
        <v>1003</v>
      </c>
      <c r="J225" s="59">
        <v>7020060010</v>
      </c>
      <c r="K225" s="14" t="s">
        <v>141</v>
      </c>
      <c r="L225" s="59">
        <v>200</v>
      </c>
      <c r="M225" s="15">
        <v>0.514</v>
      </c>
      <c r="N225" s="15">
        <v>0.514</v>
      </c>
      <c r="O225" s="15">
        <f>0.7-0.1</f>
        <v>0.6</v>
      </c>
      <c r="P225" s="15">
        <v>0.7</v>
      </c>
      <c r="Q225" s="59" t="s">
        <v>120</v>
      </c>
    </row>
    <row r="226" spans="1:17" ht="25.5" customHeight="1">
      <c r="A226" s="66"/>
      <c r="B226" s="59"/>
      <c r="C226" s="55"/>
      <c r="D226" s="55"/>
      <c r="E226" s="55"/>
      <c r="F226" s="66"/>
      <c r="G226" s="59"/>
      <c r="H226" s="59"/>
      <c r="I226" s="59"/>
      <c r="J226" s="59"/>
      <c r="K226" s="14" t="s">
        <v>147</v>
      </c>
      <c r="L226" s="59"/>
      <c r="M226" s="15">
        <v>51.448</v>
      </c>
      <c r="N226" s="15">
        <v>51.448</v>
      </c>
      <c r="O226" s="15">
        <f>71.7-10</f>
        <v>61.7</v>
      </c>
      <c r="P226" s="15">
        <v>71.7</v>
      </c>
      <c r="Q226" s="59"/>
    </row>
    <row r="227" spans="1:17" ht="33.75" customHeight="1">
      <c r="A227" s="59">
        <v>812</v>
      </c>
      <c r="B227" s="59" t="s">
        <v>38</v>
      </c>
      <c r="C227" s="55" t="s">
        <v>151</v>
      </c>
      <c r="D227" s="55" t="s">
        <v>217</v>
      </c>
      <c r="E227" s="67"/>
      <c r="F227" s="59" t="s">
        <v>236</v>
      </c>
      <c r="G227" s="63">
        <v>41124</v>
      </c>
      <c r="H227" s="59" t="s">
        <v>7</v>
      </c>
      <c r="I227" s="59">
        <v>1003</v>
      </c>
      <c r="J227" s="59">
        <v>7020060030</v>
      </c>
      <c r="K227" s="14" t="s">
        <v>141</v>
      </c>
      <c r="L227" s="59">
        <v>200</v>
      </c>
      <c r="M227" s="15">
        <v>11.2</v>
      </c>
      <c r="N227" s="15">
        <v>11.081</v>
      </c>
      <c r="O227" s="15">
        <v>15.6</v>
      </c>
      <c r="P227" s="15">
        <v>11.044</v>
      </c>
      <c r="Q227" s="59" t="s">
        <v>191</v>
      </c>
    </row>
    <row r="228" spans="1:17" ht="53.25" customHeight="1">
      <c r="A228" s="66"/>
      <c r="B228" s="66"/>
      <c r="C228" s="67"/>
      <c r="D228" s="67"/>
      <c r="E228" s="67"/>
      <c r="F228" s="66"/>
      <c r="G228" s="66"/>
      <c r="H228" s="59"/>
      <c r="I228" s="59"/>
      <c r="J228" s="59"/>
      <c r="K228" s="14" t="s">
        <v>147</v>
      </c>
      <c r="L228" s="59"/>
      <c r="M228" s="15">
        <v>1121</v>
      </c>
      <c r="N228" s="15">
        <v>1120.909</v>
      </c>
      <c r="O228" s="15">
        <v>1036.9</v>
      </c>
      <c r="P228" s="15">
        <v>1104.437</v>
      </c>
      <c r="Q228" s="59"/>
    </row>
    <row r="229" spans="1:17" ht="61.5" customHeight="1">
      <c r="A229" s="59">
        <v>812</v>
      </c>
      <c r="B229" s="59" t="s">
        <v>39</v>
      </c>
      <c r="C229" s="55" t="s">
        <v>72</v>
      </c>
      <c r="D229" s="55" t="s">
        <v>267</v>
      </c>
      <c r="E229" s="55"/>
      <c r="F229" s="12" t="s">
        <v>173</v>
      </c>
      <c r="G229" s="13">
        <v>41640</v>
      </c>
      <c r="H229" s="52" t="s">
        <v>118</v>
      </c>
      <c r="I229" s="59">
        <v>1003</v>
      </c>
      <c r="J229" s="59">
        <v>7020060060</v>
      </c>
      <c r="K229" s="14" t="s">
        <v>141</v>
      </c>
      <c r="L229" s="59">
        <v>200</v>
      </c>
      <c r="M229" s="15">
        <v>482.725</v>
      </c>
      <c r="N229" s="15">
        <v>456.677</v>
      </c>
      <c r="O229" s="15">
        <f>443.7-100</f>
        <v>343.7</v>
      </c>
      <c r="P229" s="15">
        <v>407</v>
      </c>
      <c r="Q229" s="59" t="s">
        <v>120</v>
      </c>
    </row>
    <row r="230" spans="1:17" ht="80.25" customHeight="1">
      <c r="A230" s="66"/>
      <c r="B230" s="59"/>
      <c r="C230" s="55"/>
      <c r="D230" s="55" t="s">
        <v>266</v>
      </c>
      <c r="E230" s="55"/>
      <c r="F230" s="12" t="s">
        <v>158</v>
      </c>
      <c r="G230" s="13">
        <v>41141</v>
      </c>
      <c r="H230" s="54"/>
      <c r="I230" s="59"/>
      <c r="J230" s="59"/>
      <c r="K230" s="14" t="s">
        <v>147</v>
      </c>
      <c r="L230" s="59"/>
      <c r="M230" s="15">
        <v>39259.6</v>
      </c>
      <c r="N230" s="15">
        <v>39198.727</v>
      </c>
      <c r="O230" s="15">
        <f>36534.1-1000</f>
        <v>35534.1</v>
      </c>
      <c r="P230" s="15">
        <v>40734</v>
      </c>
      <c r="Q230" s="59"/>
    </row>
    <row r="231" spans="1:17" ht="30.75" customHeight="1">
      <c r="A231" s="59">
        <v>812</v>
      </c>
      <c r="B231" s="59" t="s">
        <v>40</v>
      </c>
      <c r="C231" s="55" t="s">
        <v>82</v>
      </c>
      <c r="D231" s="55" t="s">
        <v>267</v>
      </c>
      <c r="E231" s="67"/>
      <c r="F231" s="59" t="s">
        <v>174</v>
      </c>
      <c r="G231" s="63">
        <v>41640</v>
      </c>
      <c r="H231" s="59" t="s">
        <v>118</v>
      </c>
      <c r="I231" s="59">
        <v>1003</v>
      </c>
      <c r="J231" s="59">
        <v>7020060070</v>
      </c>
      <c r="K231" s="14" t="s">
        <v>141</v>
      </c>
      <c r="L231" s="59">
        <v>200</v>
      </c>
      <c r="M231" s="15">
        <v>0.7</v>
      </c>
      <c r="N231" s="15">
        <v>0.277</v>
      </c>
      <c r="O231" s="15">
        <f>0.8+0.9-0.4</f>
        <v>1.3000000000000003</v>
      </c>
      <c r="P231" s="15">
        <v>0.4</v>
      </c>
      <c r="Q231" s="59" t="s">
        <v>120</v>
      </c>
    </row>
    <row r="232" spans="1:17" s="3" customFormat="1" ht="29.25" customHeight="1">
      <c r="A232" s="66"/>
      <c r="B232" s="59"/>
      <c r="C232" s="55"/>
      <c r="D232" s="67"/>
      <c r="E232" s="67"/>
      <c r="F232" s="59"/>
      <c r="G232" s="59"/>
      <c r="H232" s="59"/>
      <c r="I232" s="59"/>
      <c r="J232" s="59"/>
      <c r="K232" s="14" t="s">
        <v>147</v>
      </c>
      <c r="L232" s="59"/>
      <c r="M232" s="15">
        <v>31.9</v>
      </c>
      <c r="N232" s="15">
        <v>27.778</v>
      </c>
      <c r="O232" s="15">
        <f>64.2+40-30</f>
        <v>74.2</v>
      </c>
      <c r="P232" s="15">
        <v>37.8</v>
      </c>
      <c r="Q232" s="59"/>
    </row>
    <row r="233" spans="1:17" s="9" customFormat="1" ht="31.5" customHeight="1">
      <c r="A233" s="59">
        <v>812</v>
      </c>
      <c r="B233" s="59" t="s">
        <v>41</v>
      </c>
      <c r="C233" s="55" t="s">
        <v>81</v>
      </c>
      <c r="D233" s="55" t="s">
        <v>267</v>
      </c>
      <c r="E233" s="67"/>
      <c r="F233" s="59" t="s">
        <v>175</v>
      </c>
      <c r="G233" s="63">
        <v>41640</v>
      </c>
      <c r="H233" s="59" t="s">
        <v>118</v>
      </c>
      <c r="I233" s="59">
        <v>1003</v>
      </c>
      <c r="J233" s="59">
        <v>7020060080</v>
      </c>
      <c r="K233" s="14" t="s">
        <v>141</v>
      </c>
      <c r="L233" s="59">
        <v>200</v>
      </c>
      <c r="M233" s="15">
        <v>7.3</v>
      </c>
      <c r="N233" s="15">
        <v>4.804</v>
      </c>
      <c r="O233" s="15">
        <f>5.5-1</f>
        <v>4.5</v>
      </c>
      <c r="P233" s="15">
        <v>4.2</v>
      </c>
      <c r="Q233" s="59" t="s">
        <v>121</v>
      </c>
    </row>
    <row r="234" spans="1:17" ht="37.5" customHeight="1">
      <c r="A234" s="66"/>
      <c r="B234" s="66"/>
      <c r="C234" s="67"/>
      <c r="D234" s="67"/>
      <c r="E234" s="67"/>
      <c r="F234" s="59"/>
      <c r="G234" s="98"/>
      <c r="H234" s="66"/>
      <c r="I234" s="66"/>
      <c r="J234" s="66"/>
      <c r="K234" s="14" t="s">
        <v>147</v>
      </c>
      <c r="L234" s="59"/>
      <c r="M234" s="15">
        <v>461.28</v>
      </c>
      <c r="N234" s="15">
        <v>447.166</v>
      </c>
      <c r="O234" s="15">
        <f>508.6-100</f>
        <v>408.6</v>
      </c>
      <c r="P234" s="15">
        <v>425</v>
      </c>
      <c r="Q234" s="59"/>
    </row>
    <row r="235" spans="1:17" ht="34.5" customHeight="1">
      <c r="A235" s="59">
        <v>812</v>
      </c>
      <c r="B235" s="59" t="s">
        <v>42</v>
      </c>
      <c r="C235" s="55" t="s">
        <v>73</v>
      </c>
      <c r="D235" s="55" t="s">
        <v>217</v>
      </c>
      <c r="E235" s="99"/>
      <c r="F235" s="59" t="s">
        <v>176</v>
      </c>
      <c r="G235" s="63">
        <v>41124</v>
      </c>
      <c r="H235" s="59" t="s">
        <v>118</v>
      </c>
      <c r="I235" s="59">
        <v>1003</v>
      </c>
      <c r="J235" s="59">
        <v>7020060090</v>
      </c>
      <c r="K235" s="14" t="s">
        <v>141</v>
      </c>
      <c r="L235" s="59">
        <v>200</v>
      </c>
      <c r="M235" s="15">
        <v>111.9</v>
      </c>
      <c r="N235" s="15">
        <v>111.853</v>
      </c>
      <c r="O235" s="15">
        <f>119.6-15</f>
        <v>104.6</v>
      </c>
      <c r="P235" s="15">
        <v>114.4</v>
      </c>
      <c r="Q235" s="59" t="s">
        <v>120</v>
      </c>
    </row>
    <row r="236" spans="1:17" ht="53.25" customHeight="1">
      <c r="A236" s="66"/>
      <c r="B236" s="66"/>
      <c r="C236" s="67"/>
      <c r="D236" s="99"/>
      <c r="E236" s="99"/>
      <c r="F236" s="59"/>
      <c r="G236" s="59"/>
      <c r="H236" s="66"/>
      <c r="I236" s="66"/>
      <c r="J236" s="66"/>
      <c r="K236" s="14" t="s">
        <v>147</v>
      </c>
      <c r="L236" s="59"/>
      <c r="M236" s="15">
        <v>11186.3</v>
      </c>
      <c r="N236" s="15">
        <v>11185.358</v>
      </c>
      <c r="O236" s="15">
        <f>11962-1000</f>
        <v>10962</v>
      </c>
      <c r="P236" s="15">
        <v>11439.7</v>
      </c>
      <c r="Q236" s="66"/>
    </row>
    <row r="237" spans="1:17" ht="49.5" customHeight="1">
      <c r="A237" s="59">
        <v>812</v>
      </c>
      <c r="B237" s="59" t="s">
        <v>90</v>
      </c>
      <c r="C237" s="55" t="s">
        <v>50</v>
      </c>
      <c r="D237" s="55" t="s">
        <v>217</v>
      </c>
      <c r="E237" s="99"/>
      <c r="F237" s="59" t="s">
        <v>177</v>
      </c>
      <c r="G237" s="63">
        <v>41124</v>
      </c>
      <c r="H237" s="59" t="s">
        <v>118</v>
      </c>
      <c r="I237" s="59">
        <v>1003</v>
      </c>
      <c r="J237" s="59">
        <v>7020060100</v>
      </c>
      <c r="K237" s="14" t="s">
        <v>141</v>
      </c>
      <c r="L237" s="59">
        <v>200</v>
      </c>
      <c r="M237" s="15">
        <v>4.1</v>
      </c>
      <c r="N237" s="15">
        <v>2.631</v>
      </c>
      <c r="O237" s="15">
        <f>2.5-0.4</f>
        <v>2.1</v>
      </c>
      <c r="P237" s="15">
        <v>2.4</v>
      </c>
      <c r="Q237" s="59" t="s">
        <v>120</v>
      </c>
    </row>
    <row r="238" spans="1:17" ht="37.5" customHeight="1">
      <c r="A238" s="66"/>
      <c r="B238" s="59"/>
      <c r="C238" s="55"/>
      <c r="D238" s="99"/>
      <c r="E238" s="99"/>
      <c r="F238" s="59"/>
      <c r="G238" s="59"/>
      <c r="H238" s="59"/>
      <c r="I238" s="59"/>
      <c r="J238" s="59"/>
      <c r="K238" s="14" t="s">
        <v>147</v>
      </c>
      <c r="L238" s="59"/>
      <c r="M238" s="15">
        <v>249</v>
      </c>
      <c r="N238" s="15">
        <v>238.325</v>
      </c>
      <c r="O238" s="15">
        <f>224.3-40</f>
        <v>184.3</v>
      </c>
      <c r="P238" s="15">
        <v>244.8</v>
      </c>
      <c r="Q238" s="59"/>
    </row>
    <row r="239" spans="1:17" ht="56.25" customHeight="1">
      <c r="A239" s="12">
        <v>812</v>
      </c>
      <c r="B239" s="12" t="s">
        <v>20</v>
      </c>
      <c r="C239" s="22" t="s">
        <v>108</v>
      </c>
      <c r="D239" s="55" t="s">
        <v>267</v>
      </c>
      <c r="E239" s="100"/>
      <c r="F239" s="12" t="s">
        <v>178</v>
      </c>
      <c r="G239" s="13">
        <v>41640</v>
      </c>
      <c r="H239" s="12" t="s">
        <v>118</v>
      </c>
      <c r="I239" s="12">
        <v>1003</v>
      </c>
      <c r="J239" s="12">
        <v>7020060110</v>
      </c>
      <c r="K239" s="14" t="s">
        <v>147</v>
      </c>
      <c r="L239" s="12">
        <v>200</v>
      </c>
      <c r="M239" s="15">
        <v>40.609</v>
      </c>
      <c r="N239" s="15">
        <v>39.897</v>
      </c>
      <c r="O239" s="15">
        <v>31</v>
      </c>
      <c r="P239" s="15">
        <v>37.2</v>
      </c>
      <c r="Q239" s="12" t="s">
        <v>120</v>
      </c>
    </row>
    <row r="240" spans="1:17" ht="35.25" customHeight="1">
      <c r="A240" s="59">
        <v>812</v>
      </c>
      <c r="B240" s="59" t="s">
        <v>130</v>
      </c>
      <c r="C240" s="55" t="s">
        <v>124</v>
      </c>
      <c r="D240" s="55" t="s">
        <v>267</v>
      </c>
      <c r="E240" s="67"/>
      <c r="F240" s="59" t="s">
        <v>182</v>
      </c>
      <c r="G240" s="63">
        <v>41640</v>
      </c>
      <c r="H240" s="59" t="s">
        <v>118</v>
      </c>
      <c r="I240" s="59">
        <v>1003</v>
      </c>
      <c r="J240" s="59">
        <v>7020060140</v>
      </c>
      <c r="K240" s="14" t="s">
        <v>141</v>
      </c>
      <c r="L240" s="59">
        <v>200</v>
      </c>
      <c r="M240" s="15">
        <v>3.2</v>
      </c>
      <c r="N240" s="15">
        <v>3.011</v>
      </c>
      <c r="O240" s="15">
        <v>3.3</v>
      </c>
      <c r="P240" s="15">
        <v>3.1</v>
      </c>
      <c r="Q240" s="59" t="s">
        <v>120</v>
      </c>
    </row>
    <row r="241" spans="1:17" ht="22.5" customHeight="1">
      <c r="A241" s="66"/>
      <c r="B241" s="59"/>
      <c r="C241" s="55"/>
      <c r="D241" s="67"/>
      <c r="E241" s="67"/>
      <c r="F241" s="59"/>
      <c r="G241" s="59"/>
      <c r="H241" s="59"/>
      <c r="I241" s="59"/>
      <c r="J241" s="59"/>
      <c r="K241" s="14" t="s">
        <v>147</v>
      </c>
      <c r="L241" s="59"/>
      <c r="M241" s="15">
        <v>300</v>
      </c>
      <c r="N241" s="15">
        <v>280.51</v>
      </c>
      <c r="O241" s="15">
        <v>311</v>
      </c>
      <c r="P241" s="15">
        <v>307.3</v>
      </c>
      <c r="Q241" s="59"/>
    </row>
    <row r="242" spans="1:17" ht="35.25" customHeight="1">
      <c r="A242" s="59">
        <v>812</v>
      </c>
      <c r="B242" s="59" t="s">
        <v>43</v>
      </c>
      <c r="C242" s="55" t="s">
        <v>376</v>
      </c>
      <c r="D242" s="55" t="s">
        <v>226</v>
      </c>
      <c r="E242" s="67"/>
      <c r="F242" s="59" t="s">
        <v>183</v>
      </c>
      <c r="G242" s="63">
        <v>40667</v>
      </c>
      <c r="H242" s="59" t="s">
        <v>118</v>
      </c>
      <c r="I242" s="59">
        <v>1003</v>
      </c>
      <c r="J242" s="59">
        <v>7020060150</v>
      </c>
      <c r="K242" s="14" t="s">
        <v>141</v>
      </c>
      <c r="L242" s="59">
        <v>200</v>
      </c>
      <c r="M242" s="15">
        <v>0.6</v>
      </c>
      <c r="N242" s="15">
        <v>0.6</v>
      </c>
      <c r="O242" s="15">
        <f>0.5</f>
        <v>0.5</v>
      </c>
      <c r="P242" s="15">
        <v>1.1</v>
      </c>
      <c r="Q242" s="59" t="s">
        <v>120</v>
      </c>
    </row>
    <row r="243" spans="1:17" ht="60" customHeight="1">
      <c r="A243" s="66"/>
      <c r="B243" s="59"/>
      <c r="C243" s="55"/>
      <c r="D243" s="67"/>
      <c r="E243" s="67"/>
      <c r="F243" s="59"/>
      <c r="G243" s="59"/>
      <c r="H243" s="59"/>
      <c r="I243" s="59"/>
      <c r="J243" s="59"/>
      <c r="K243" s="14" t="s">
        <v>147</v>
      </c>
      <c r="L243" s="59"/>
      <c r="M243" s="15">
        <v>60</v>
      </c>
      <c r="N243" s="15">
        <v>60</v>
      </c>
      <c r="O243" s="15">
        <f>56+20+4</f>
        <v>80</v>
      </c>
      <c r="P243" s="15">
        <v>116</v>
      </c>
      <c r="Q243" s="59"/>
    </row>
    <row r="244" spans="1:17" ht="35.25" customHeight="1">
      <c r="A244" s="59">
        <v>812</v>
      </c>
      <c r="B244" s="59" t="s">
        <v>44</v>
      </c>
      <c r="C244" s="55" t="s">
        <v>111</v>
      </c>
      <c r="D244" s="55" t="s">
        <v>267</v>
      </c>
      <c r="E244" s="67"/>
      <c r="F244" s="59" t="s">
        <v>184</v>
      </c>
      <c r="G244" s="63">
        <v>41640</v>
      </c>
      <c r="H244" s="59" t="s">
        <v>118</v>
      </c>
      <c r="I244" s="59">
        <v>1003</v>
      </c>
      <c r="J244" s="59">
        <v>7020060160</v>
      </c>
      <c r="K244" s="14" t="s">
        <v>141</v>
      </c>
      <c r="L244" s="59">
        <v>200</v>
      </c>
      <c r="M244" s="15">
        <v>0.235</v>
      </c>
      <c r="N244" s="15">
        <v>0.235</v>
      </c>
      <c r="O244" s="15">
        <v>3.1</v>
      </c>
      <c r="P244" s="15">
        <v>3.1</v>
      </c>
      <c r="Q244" s="59" t="s">
        <v>120</v>
      </c>
    </row>
    <row r="245" spans="1:17" ht="25.5" customHeight="1">
      <c r="A245" s="66"/>
      <c r="B245" s="59"/>
      <c r="C245" s="55"/>
      <c r="D245" s="67"/>
      <c r="E245" s="67"/>
      <c r="F245" s="59"/>
      <c r="G245" s="59"/>
      <c r="H245" s="59"/>
      <c r="I245" s="59"/>
      <c r="J245" s="59"/>
      <c r="K245" s="14" t="s">
        <v>147</v>
      </c>
      <c r="L245" s="59"/>
      <c r="M245" s="15">
        <v>23.516</v>
      </c>
      <c r="N245" s="15">
        <v>23.516</v>
      </c>
      <c r="O245" s="15">
        <v>309.8</v>
      </c>
      <c r="P245" s="15">
        <v>309.8</v>
      </c>
      <c r="Q245" s="59"/>
    </row>
    <row r="246" spans="1:17" ht="33" customHeight="1">
      <c r="A246" s="59">
        <v>812</v>
      </c>
      <c r="B246" s="59" t="s">
        <v>45</v>
      </c>
      <c r="C246" s="55" t="s">
        <v>363</v>
      </c>
      <c r="D246" s="55" t="s">
        <v>267</v>
      </c>
      <c r="E246" s="67"/>
      <c r="F246" s="59" t="s">
        <v>184</v>
      </c>
      <c r="G246" s="63">
        <v>41640</v>
      </c>
      <c r="H246" s="59" t="s">
        <v>118</v>
      </c>
      <c r="I246" s="59">
        <v>1003</v>
      </c>
      <c r="J246" s="59">
        <v>7020060170</v>
      </c>
      <c r="K246" s="14" t="s">
        <v>141</v>
      </c>
      <c r="L246" s="59">
        <v>200</v>
      </c>
      <c r="M246" s="15">
        <v>0.494</v>
      </c>
      <c r="N246" s="15">
        <v>0.494</v>
      </c>
      <c r="O246" s="15">
        <v>0.5</v>
      </c>
      <c r="P246" s="15">
        <v>0.6</v>
      </c>
      <c r="Q246" s="59" t="s">
        <v>125</v>
      </c>
    </row>
    <row r="247" spans="1:17" ht="24.75" customHeight="1">
      <c r="A247" s="66"/>
      <c r="B247" s="59"/>
      <c r="C247" s="55"/>
      <c r="D247" s="67"/>
      <c r="E247" s="67"/>
      <c r="F247" s="59"/>
      <c r="G247" s="59"/>
      <c r="H247" s="59"/>
      <c r="I247" s="59"/>
      <c r="J247" s="59"/>
      <c r="K247" s="14" t="s">
        <v>147</v>
      </c>
      <c r="L247" s="59"/>
      <c r="M247" s="15">
        <v>49.417</v>
      </c>
      <c r="N247" s="15">
        <v>49.417</v>
      </c>
      <c r="O247" s="15">
        <v>54.5</v>
      </c>
      <c r="P247" s="15">
        <v>56.7</v>
      </c>
      <c r="Q247" s="59"/>
    </row>
    <row r="248" spans="1:17" ht="37.5" customHeight="1">
      <c r="A248" s="59">
        <v>812</v>
      </c>
      <c r="B248" s="59" t="s">
        <v>46</v>
      </c>
      <c r="C248" s="55" t="s">
        <v>364</v>
      </c>
      <c r="D248" s="55" t="s">
        <v>267</v>
      </c>
      <c r="E248" s="67"/>
      <c r="F248" s="59" t="s">
        <v>185</v>
      </c>
      <c r="G248" s="63">
        <v>41640</v>
      </c>
      <c r="H248" s="59" t="s">
        <v>118</v>
      </c>
      <c r="I248" s="59">
        <v>1003</v>
      </c>
      <c r="J248" s="59">
        <v>7020060180</v>
      </c>
      <c r="K248" s="14" t="s">
        <v>141</v>
      </c>
      <c r="L248" s="59">
        <v>200</v>
      </c>
      <c r="M248" s="15">
        <v>2.5</v>
      </c>
      <c r="N248" s="15">
        <v>2.064</v>
      </c>
      <c r="O248" s="15">
        <f>3.5-1</f>
        <v>2.5</v>
      </c>
      <c r="P248" s="15">
        <v>2.9</v>
      </c>
      <c r="Q248" s="59" t="s">
        <v>123</v>
      </c>
    </row>
    <row r="249" spans="1:17" ht="38.25" customHeight="1">
      <c r="A249" s="66"/>
      <c r="B249" s="59"/>
      <c r="C249" s="55"/>
      <c r="D249" s="67"/>
      <c r="E249" s="67"/>
      <c r="F249" s="59"/>
      <c r="G249" s="59"/>
      <c r="H249" s="59"/>
      <c r="I249" s="59"/>
      <c r="J249" s="59"/>
      <c r="K249" s="14" t="s">
        <v>147</v>
      </c>
      <c r="L249" s="59"/>
      <c r="M249" s="15">
        <v>242.864</v>
      </c>
      <c r="N249" s="15">
        <v>206.476</v>
      </c>
      <c r="O249" s="15">
        <f>377.1-100</f>
        <v>277.1</v>
      </c>
      <c r="P249" s="15">
        <f>O249*1.04</f>
        <v>288.184</v>
      </c>
      <c r="Q249" s="59"/>
    </row>
    <row r="250" spans="1:17" ht="36" customHeight="1">
      <c r="A250" s="59">
        <v>812</v>
      </c>
      <c r="B250" s="59" t="s">
        <v>47</v>
      </c>
      <c r="C250" s="55" t="s">
        <v>227</v>
      </c>
      <c r="D250" s="103" t="s">
        <v>278</v>
      </c>
      <c r="E250" s="67"/>
      <c r="F250" s="59" t="s">
        <v>187</v>
      </c>
      <c r="G250" s="63">
        <v>40355</v>
      </c>
      <c r="H250" s="59" t="s">
        <v>118</v>
      </c>
      <c r="I250" s="59">
        <v>1003</v>
      </c>
      <c r="J250" s="59">
        <v>7020060210</v>
      </c>
      <c r="K250" s="14" t="s">
        <v>141</v>
      </c>
      <c r="L250" s="59">
        <v>200</v>
      </c>
      <c r="M250" s="15">
        <v>0</v>
      </c>
      <c r="N250" s="15">
        <v>0</v>
      </c>
      <c r="O250" s="15">
        <f>0.1-0.1</f>
        <v>0</v>
      </c>
      <c r="P250" s="15">
        <v>0.1</v>
      </c>
      <c r="Q250" s="59" t="s">
        <v>120</v>
      </c>
    </row>
    <row r="251" spans="1:17" ht="34.5" customHeight="1">
      <c r="A251" s="66"/>
      <c r="B251" s="59"/>
      <c r="C251" s="55"/>
      <c r="D251" s="67"/>
      <c r="E251" s="67"/>
      <c r="F251" s="59"/>
      <c r="G251" s="59"/>
      <c r="H251" s="59"/>
      <c r="I251" s="59"/>
      <c r="J251" s="59"/>
      <c r="K251" s="14" t="s">
        <v>147</v>
      </c>
      <c r="L251" s="59"/>
      <c r="M251" s="15">
        <v>0</v>
      </c>
      <c r="N251" s="15">
        <v>0</v>
      </c>
      <c r="O251" s="15">
        <f>1-1</f>
        <v>0</v>
      </c>
      <c r="P251" s="15">
        <v>1</v>
      </c>
      <c r="Q251" s="59"/>
    </row>
    <row r="252" spans="1:17" ht="84" customHeight="1">
      <c r="A252" s="59">
        <v>812</v>
      </c>
      <c r="B252" s="59" t="s">
        <v>253</v>
      </c>
      <c r="C252" s="55" t="s">
        <v>71</v>
      </c>
      <c r="D252" s="55" t="s">
        <v>19</v>
      </c>
      <c r="E252" s="55"/>
      <c r="F252" s="12" t="s">
        <v>155</v>
      </c>
      <c r="G252" s="13">
        <v>41275</v>
      </c>
      <c r="H252" s="52" t="s">
        <v>118</v>
      </c>
      <c r="I252" s="59">
        <v>1003</v>
      </c>
      <c r="J252" s="59">
        <v>7030060040</v>
      </c>
      <c r="K252" s="14" t="s">
        <v>141</v>
      </c>
      <c r="L252" s="59">
        <v>200</v>
      </c>
      <c r="M252" s="15">
        <v>79.5</v>
      </c>
      <c r="N252" s="15">
        <v>74.888</v>
      </c>
      <c r="O252" s="15">
        <f>75.4-10</f>
        <v>65.4</v>
      </c>
      <c r="P252" s="15">
        <v>70.8</v>
      </c>
      <c r="Q252" s="59" t="s">
        <v>120</v>
      </c>
    </row>
    <row r="253" spans="1:17" ht="87.75" customHeight="1">
      <c r="A253" s="66"/>
      <c r="B253" s="59"/>
      <c r="C253" s="55"/>
      <c r="D253" s="55" t="s">
        <v>468</v>
      </c>
      <c r="E253" s="55"/>
      <c r="F253" s="12" t="s">
        <v>155</v>
      </c>
      <c r="G253" s="13">
        <v>43282</v>
      </c>
      <c r="H253" s="54"/>
      <c r="I253" s="59"/>
      <c r="J253" s="59"/>
      <c r="K253" s="14" t="s">
        <v>147</v>
      </c>
      <c r="L253" s="59"/>
      <c r="M253" s="15">
        <v>7081.4</v>
      </c>
      <c r="N253" s="15">
        <v>7079.37</v>
      </c>
      <c r="O253" s="15">
        <f>7091.4-500</f>
        <v>6591.4</v>
      </c>
      <c r="P253" s="15">
        <v>7079.4</v>
      </c>
      <c r="Q253" s="59"/>
    </row>
    <row r="254" spans="1:17" ht="42" customHeight="1">
      <c r="A254" s="59">
        <v>812</v>
      </c>
      <c r="B254" s="59" t="s">
        <v>240</v>
      </c>
      <c r="C254" s="55" t="s">
        <v>51</v>
      </c>
      <c r="D254" s="55" t="s">
        <v>276</v>
      </c>
      <c r="E254" s="55"/>
      <c r="F254" s="12" t="s">
        <v>179</v>
      </c>
      <c r="G254" s="63">
        <v>41594</v>
      </c>
      <c r="H254" s="59" t="s">
        <v>118</v>
      </c>
      <c r="I254" s="59">
        <v>1003</v>
      </c>
      <c r="J254" s="59">
        <v>7030060120</v>
      </c>
      <c r="K254" s="14" t="s">
        <v>141</v>
      </c>
      <c r="L254" s="59">
        <v>200</v>
      </c>
      <c r="M254" s="15">
        <v>12.4</v>
      </c>
      <c r="N254" s="15">
        <v>11.906</v>
      </c>
      <c r="O254" s="15">
        <f>15.7-7</f>
        <v>8.7</v>
      </c>
      <c r="P254" s="15">
        <v>16.8</v>
      </c>
      <c r="Q254" s="59" t="s">
        <v>120</v>
      </c>
    </row>
    <row r="255" spans="1:17" ht="71.25" customHeight="1">
      <c r="A255" s="66"/>
      <c r="B255" s="59"/>
      <c r="C255" s="55"/>
      <c r="D255" s="45" t="s">
        <v>180</v>
      </c>
      <c r="E255" s="45"/>
      <c r="F255" s="12" t="s">
        <v>155</v>
      </c>
      <c r="G255" s="59"/>
      <c r="H255" s="59"/>
      <c r="I255" s="59"/>
      <c r="J255" s="59"/>
      <c r="K255" s="14" t="s">
        <v>147</v>
      </c>
      <c r="L255" s="59"/>
      <c r="M255" s="15">
        <v>1574</v>
      </c>
      <c r="N255" s="15">
        <v>1573.129</v>
      </c>
      <c r="O255" s="15">
        <f>2120-500</f>
        <v>1620</v>
      </c>
      <c r="P255" s="15">
        <f>O255*1.04</f>
        <v>1684.8</v>
      </c>
      <c r="Q255" s="59"/>
    </row>
    <row r="256" spans="1:17" ht="32.25" customHeight="1">
      <c r="A256" s="59">
        <v>812</v>
      </c>
      <c r="B256" s="59" t="s">
        <v>254</v>
      </c>
      <c r="C256" s="55" t="s">
        <v>109</v>
      </c>
      <c r="D256" s="55" t="s">
        <v>277</v>
      </c>
      <c r="E256" s="67"/>
      <c r="F256" s="59" t="s">
        <v>181</v>
      </c>
      <c r="G256" s="63">
        <v>41732</v>
      </c>
      <c r="H256" s="59" t="s">
        <v>118</v>
      </c>
      <c r="I256" s="59">
        <v>1003</v>
      </c>
      <c r="J256" s="59">
        <v>7030060130</v>
      </c>
      <c r="K256" s="14" t="s">
        <v>141</v>
      </c>
      <c r="L256" s="59">
        <v>200</v>
      </c>
      <c r="M256" s="15">
        <v>11.6</v>
      </c>
      <c r="N256" s="15">
        <v>11.599</v>
      </c>
      <c r="O256" s="15">
        <v>10</v>
      </c>
      <c r="P256" s="15">
        <v>10.1</v>
      </c>
      <c r="Q256" s="59" t="s">
        <v>123</v>
      </c>
    </row>
    <row r="257" spans="1:17" ht="34.5" customHeight="1">
      <c r="A257" s="66"/>
      <c r="B257" s="59"/>
      <c r="C257" s="55"/>
      <c r="D257" s="67"/>
      <c r="E257" s="67"/>
      <c r="F257" s="59"/>
      <c r="G257" s="59"/>
      <c r="H257" s="59"/>
      <c r="I257" s="59"/>
      <c r="J257" s="59"/>
      <c r="K257" s="14" t="s">
        <v>147</v>
      </c>
      <c r="L257" s="59"/>
      <c r="M257" s="15">
        <v>1402.711</v>
      </c>
      <c r="N257" s="15">
        <v>1402.468</v>
      </c>
      <c r="O257" s="15">
        <v>968.4</v>
      </c>
      <c r="P257" s="15">
        <v>1007</v>
      </c>
      <c r="Q257" s="59"/>
    </row>
    <row r="258" spans="1:20" ht="132.75" customHeight="1">
      <c r="A258" s="12">
        <v>812</v>
      </c>
      <c r="B258" s="12" t="s">
        <v>255</v>
      </c>
      <c r="C258" s="22" t="s">
        <v>122</v>
      </c>
      <c r="D258" s="55" t="s">
        <v>261</v>
      </c>
      <c r="E258" s="55"/>
      <c r="F258" s="12" t="s">
        <v>155</v>
      </c>
      <c r="G258" s="13">
        <v>38814</v>
      </c>
      <c r="H258" s="12" t="s">
        <v>118</v>
      </c>
      <c r="I258" s="12">
        <v>1003</v>
      </c>
      <c r="J258" s="12">
        <v>9900060200</v>
      </c>
      <c r="K258" s="14" t="s">
        <v>147</v>
      </c>
      <c r="L258" s="12">
        <v>262</v>
      </c>
      <c r="M258" s="15">
        <v>2950</v>
      </c>
      <c r="N258" s="15">
        <v>2949.327</v>
      </c>
      <c r="O258" s="15">
        <f>3500+2350</f>
        <v>5850</v>
      </c>
      <c r="P258" s="15">
        <v>5000</v>
      </c>
      <c r="Q258" s="12" t="s">
        <v>120</v>
      </c>
      <c r="S258" s="1">
        <v>1003</v>
      </c>
      <c r="T258" s="44">
        <f>P258+P257+P255+P254+P253+P252+P251+P250+P249+P248+P247+P246+P245+P244+P243+P242+P241+P240+P239+P238+P237+P236+P235+P234+P233+P232+P231+P230+P229+P228+P227+P226+P225+P224+P223+P222+P221+P220+P219+P218+P217+P216+P215+P214</f>
        <v>170395.065</v>
      </c>
    </row>
    <row r="259" spans="1:17" ht="113.25" customHeight="1">
      <c r="A259" s="12">
        <v>812</v>
      </c>
      <c r="B259" s="12" t="s">
        <v>256</v>
      </c>
      <c r="C259" s="25" t="s">
        <v>54</v>
      </c>
      <c r="D259" s="45" t="s">
        <v>379</v>
      </c>
      <c r="E259" s="45"/>
      <c r="F259" s="12" t="s">
        <v>186</v>
      </c>
      <c r="G259" s="19">
        <v>43101</v>
      </c>
      <c r="H259" s="19" t="s">
        <v>7</v>
      </c>
      <c r="I259" s="12">
        <v>1004</v>
      </c>
      <c r="J259" s="12">
        <v>3050120030</v>
      </c>
      <c r="K259" s="14" t="s">
        <v>147</v>
      </c>
      <c r="L259" s="12">
        <v>200</v>
      </c>
      <c r="M259" s="15">
        <v>15707.561</v>
      </c>
      <c r="N259" s="15">
        <v>15669.09</v>
      </c>
      <c r="O259" s="15">
        <v>17993</v>
      </c>
      <c r="P259" s="15">
        <v>18000</v>
      </c>
      <c r="Q259" s="34" t="s">
        <v>123</v>
      </c>
    </row>
    <row r="260" spans="1:17" ht="49.5" customHeight="1">
      <c r="A260" s="12">
        <v>812</v>
      </c>
      <c r="B260" s="12" t="s">
        <v>289</v>
      </c>
      <c r="C260" s="22" t="s">
        <v>249</v>
      </c>
      <c r="D260" s="101" t="s">
        <v>429</v>
      </c>
      <c r="E260" s="102"/>
      <c r="F260" s="12" t="s">
        <v>430</v>
      </c>
      <c r="G260" s="35">
        <v>44197</v>
      </c>
      <c r="H260" s="13">
        <v>44561</v>
      </c>
      <c r="I260" s="12">
        <v>1004</v>
      </c>
      <c r="J260" s="12">
        <v>3050452600</v>
      </c>
      <c r="K260" s="14" t="s">
        <v>147</v>
      </c>
      <c r="L260" s="12">
        <v>200</v>
      </c>
      <c r="M260" s="15">
        <v>703.8</v>
      </c>
      <c r="N260" s="15">
        <v>100.088</v>
      </c>
      <c r="O260" s="15">
        <v>732</v>
      </c>
      <c r="P260" s="15">
        <v>0</v>
      </c>
      <c r="Q260" s="12" t="s">
        <v>120</v>
      </c>
    </row>
    <row r="261" spans="1:17" ht="66" customHeight="1">
      <c r="A261" s="12">
        <v>812</v>
      </c>
      <c r="B261" s="12" t="s">
        <v>284</v>
      </c>
      <c r="C261" s="22" t="s">
        <v>89</v>
      </c>
      <c r="D261" s="101" t="s">
        <v>469</v>
      </c>
      <c r="E261" s="102"/>
      <c r="F261" s="12" t="s">
        <v>190</v>
      </c>
      <c r="G261" s="35">
        <v>44197</v>
      </c>
      <c r="H261" s="13">
        <v>44561</v>
      </c>
      <c r="I261" s="12">
        <v>1004</v>
      </c>
      <c r="J261" s="12">
        <v>3050460240</v>
      </c>
      <c r="K261" s="14" t="s">
        <v>147</v>
      </c>
      <c r="L261" s="12">
        <v>200</v>
      </c>
      <c r="M261" s="15">
        <v>9765.5</v>
      </c>
      <c r="N261" s="15">
        <v>9725.099</v>
      </c>
      <c r="O261" s="15">
        <f>10726-1139</f>
        <v>9587</v>
      </c>
      <c r="P261" s="15">
        <v>11155</v>
      </c>
      <c r="Q261" s="12" t="s">
        <v>120</v>
      </c>
    </row>
    <row r="262" spans="1:17" ht="99.75" customHeight="1">
      <c r="A262" s="12">
        <v>812</v>
      </c>
      <c r="B262" s="12" t="s">
        <v>291</v>
      </c>
      <c r="C262" s="22" t="s">
        <v>362</v>
      </c>
      <c r="D262" s="46" t="s">
        <v>525</v>
      </c>
      <c r="E262" s="47"/>
      <c r="F262" s="12" t="s">
        <v>442</v>
      </c>
      <c r="G262" s="13">
        <v>44197</v>
      </c>
      <c r="H262" s="13">
        <v>44561</v>
      </c>
      <c r="I262" s="14" t="s">
        <v>444</v>
      </c>
      <c r="J262" s="14" t="s">
        <v>307</v>
      </c>
      <c r="K262" s="14" t="s">
        <v>147</v>
      </c>
      <c r="L262" s="12">
        <v>200</v>
      </c>
      <c r="M262" s="15">
        <v>207.9</v>
      </c>
      <c r="N262" s="15">
        <v>101.572</v>
      </c>
      <c r="O262" s="15">
        <v>253.7</v>
      </c>
      <c r="P262" s="15">
        <v>0</v>
      </c>
      <c r="Q262" s="12" t="s">
        <v>119</v>
      </c>
    </row>
    <row r="263" spans="1:17" s="3" customFormat="1" ht="135" customHeight="1">
      <c r="A263" s="12">
        <v>812</v>
      </c>
      <c r="B263" s="12" t="s">
        <v>397</v>
      </c>
      <c r="C263" s="22" t="s">
        <v>272</v>
      </c>
      <c r="D263" s="46" t="s">
        <v>525</v>
      </c>
      <c r="E263" s="47"/>
      <c r="F263" s="12" t="s">
        <v>443</v>
      </c>
      <c r="G263" s="13">
        <v>44197</v>
      </c>
      <c r="H263" s="13">
        <v>44561</v>
      </c>
      <c r="I263" s="12">
        <v>1004</v>
      </c>
      <c r="J263" s="12">
        <v>7010053810</v>
      </c>
      <c r="K263" s="14" t="s">
        <v>147</v>
      </c>
      <c r="L263" s="12">
        <v>200</v>
      </c>
      <c r="M263" s="15">
        <v>8606.4</v>
      </c>
      <c r="N263" s="15">
        <v>7774.101</v>
      </c>
      <c r="O263" s="15">
        <v>10395</v>
      </c>
      <c r="P263" s="15">
        <v>0</v>
      </c>
      <c r="Q263" s="12" t="s">
        <v>119</v>
      </c>
    </row>
    <row r="264" spans="1:17" ht="52.5" customHeight="1">
      <c r="A264" s="20">
        <v>812</v>
      </c>
      <c r="B264" s="20" t="s">
        <v>491</v>
      </c>
      <c r="C264" s="25" t="s">
        <v>492</v>
      </c>
      <c r="D264" s="46" t="s">
        <v>525</v>
      </c>
      <c r="E264" s="47"/>
      <c r="F264" s="20" t="s">
        <v>489</v>
      </c>
      <c r="G264" s="19">
        <v>44197</v>
      </c>
      <c r="H264" s="19">
        <v>44561</v>
      </c>
      <c r="I264" s="23" t="s">
        <v>444</v>
      </c>
      <c r="J264" s="23" t="s">
        <v>493</v>
      </c>
      <c r="K264" s="23" t="s">
        <v>147</v>
      </c>
      <c r="L264" s="20">
        <v>200</v>
      </c>
      <c r="M264" s="29">
        <v>10035.6</v>
      </c>
      <c r="N264" s="29">
        <v>9284.98</v>
      </c>
      <c r="O264" s="29">
        <v>24266.6</v>
      </c>
      <c r="P264" s="29">
        <v>12355.9</v>
      </c>
      <c r="Q264" s="20" t="s">
        <v>119</v>
      </c>
    </row>
    <row r="265" spans="1:17" s="9" customFormat="1" ht="84" customHeight="1">
      <c r="A265" s="12">
        <v>812</v>
      </c>
      <c r="B265" s="12" t="s">
        <v>371</v>
      </c>
      <c r="C265" s="22" t="s">
        <v>290</v>
      </c>
      <c r="D265" s="46" t="s">
        <v>525</v>
      </c>
      <c r="E265" s="47"/>
      <c r="F265" s="12" t="s">
        <v>445</v>
      </c>
      <c r="G265" s="13">
        <v>44197</v>
      </c>
      <c r="H265" s="13">
        <v>44561</v>
      </c>
      <c r="I265" s="12">
        <v>1004</v>
      </c>
      <c r="J265" s="14" t="s">
        <v>308</v>
      </c>
      <c r="K265" s="14" t="s">
        <v>147</v>
      </c>
      <c r="L265" s="12">
        <v>200</v>
      </c>
      <c r="M265" s="15">
        <v>6932.5</v>
      </c>
      <c r="N265" s="15">
        <v>6749.822</v>
      </c>
      <c r="O265" s="15">
        <v>9005.6</v>
      </c>
      <c r="P265" s="15">
        <v>9041.8</v>
      </c>
      <c r="Q265" s="12" t="s">
        <v>119</v>
      </c>
    </row>
    <row r="266" spans="1:17" ht="66.75" customHeight="1">
      <c r="A266" s="12">
        <v>812</v>
      </c>
      <c r="B266" s="12" t="s">
        <v>285</v>
      </c>
      <c r="C266" s="24" t="s">
        <v>446</v>
      </c>
      <c r="D266" s="55" t="s">
        <v>381</v>
      </c>
      <c r="E266" s="67"/>
      <c r="F266" s="12" t="s">
        <v>187</v>
      </c>
      <c r="G266" s="13">
        <v>41312</v>
      </c>
      <c r="H266" s="12" t="s">
        <v>7</v>
      </c>
      <c r="I266" s="12">
        <v>1004</v>
      </c>
      <c r="J266" s="12">
        <v>7010060050</v>
      </c>
      <c r="K266" s="14" t="s">
        <v>147</v>
      </c>
      <c r="L266" s="12">
        <v>200</v>
      </c>
      <c r="M266" s="15">
        <v>5244.332</v>
      </c>
      <c r="N266" s="15">
        <v>5179.236</v>
      </c>
      <c r="O266" s="15">
        <f>6528.2-1237.4</f>
        <v>5290.799999999999</v>
      </c>
      <c r="P266" s="15">
        <v>6748.4</v>
      </c>
      <c r="Q266" s="12" t="s">
        <v>120</v>
      </c>
    </row>
    <row r="267" spans="1:17" ht="51.75" customHeight="1">
      <c r="A267" s="59">
        <v>812</v>
      </c>
      <c r="B267" s="59" t="s">
        <v>273</v>
      </c>
      <c r="C267" s="55" t="s">
        <v>52</v>
      </c>
      <c r="D267" s="55" t="s">
        <v>49</v>
      </c>
      <c r="E267" s="67"/>
      <c r="F267" s="59" t="s">
        <v>188</v>
      </c>
      <c r="G267" s="63">
        <v>39814</v>
      </c>
      <c r="H267" s="59" t="s">
        <v>118</v>
      </c>
      <c r="I267" s="59">
        <v>1004</v>
      </c>
      <c r="J267" s="59">
        <v>7010060190</v>
      </c>
      <c r="K267" s="14" t="s">
        <v>141</v>
      </c>
      <c r="L267" s="65">
        <v>200</v>
      </c>
      <c r="M267" s="15">
        <v>118.04</v>
      </c>
      <c r="N267" s="15">
        <v>115.423</v>
      </c>
      <c r="O267" s="15">
        <f>115-4.6</f>
        <v>110.4</v>
      </c>
      <c r="P267" s="15">
        <v>143.1</v>
      </c>
      <c r="Q267" s="59" t="s">
        <v>119</v>
      </c>
    </row>
    <row r="268" spans="1:17" ht="70.5" customHeight="1">
      <c r="A268" s="66"/>
      <c r="B268" s="66"/>
      <c r="C268" s="67"/>
      <c r="D268" s="67"/>
      <c r="E268" s="67"/>
      <c r="F268" s="59"/>
      <c r="G268" s="66"/>
      <c r="H268" s="59"/>
      <c r="I268" s="59"/>
      <c r="J268" s="59"/>
      <c r="K268" s="12">
        <v>300</v>
      </c>
      <c r="L268" s="65"/>
      <c r="M268" s="15">
        <v>11848.387</v>
      </c>
      <c r="N268" s="15">
        <v>11847.901</v>
      </c>
      <c r="O268" s="15">
        <f>11778+2150.5</f>
        <v>13928.5</v>
      </c>
      <c r="P268" s="15">
        <v>14308.2</v>
      </c>
      <c r="Q268" s="66"/>
    </row>
    <row r="269" spans="1:17" s="3" customFormat="1" ht="22.5" customHeight="1">
      <c r="A269" s="59">
        <v>812</v>
      </c>
      <c r="B269" s="59" t="s">
        <v>450</v>
      </c>
      <c r="C269" s="55" t="s">
        <v>53</v>
      </c>
      <c r="D269" s="55" t="s">
        <v>380</v>
      </c>
      <c r="E269" s="67"/>
      <c r="F269" s="59" t="s">
        <v>187</v>
      </c>
      <c r="G269" s="63">
        <v>41311</v>
      </c>
      <c r="H269" s="59" t="s">
        <v>7</v>
      </c>
      <c r="I269" s="59">
        <v>1004</v>
      </c>
      <c r="J269" s="59">
        <v>7010060250</v>
      </c>
      <c r="K269" s="14" t="s">
        <v>141</v>
      </c>
      <c r="L269" s="59">
        <v>200</v>
      </c>
      <c r="M269" s="15">
        <v>2.4</v>
      </c>
      <c r="N269" s="15">
        <v>1.316</v>
      </c>
      <c r="O269" s="15">
        <f>6.6-1.9</f>
        <v>4.699999999999999</v>
      </c>
      <c r="P269" s="15">
        <v>5.1</v>
      </c>
      <c r="Q269" s="59" t="s">
        <v>123</v>
      </c>
    </row>
    <row r="270" spans="1:17" s="3" customFormat="1" ht="80.25" customHeight="1">
      <c r="A270" s="66"/>
      <c r="B270" s="66"/>
      <c r="C270" s="67"/>
      <c r="D270" s="67"/>
      <c r="E270" s="67"/>
      <c r="F270" s="59"/>
      <c r="G270" s="66"/>
      <c r="H270" s="59"/>
      <c r="I270" s="59"/>
      <c r="J270" s="59"/>
      <c r="K270" s="14" t="s">
        <v>147</v>
      </c>
      <c r="L270" s="59"/>
      <c r="M270" s="15">
        <v>231.602</v>
      </c>
      <c r="N270" s="15">
        <v>131.602</v>
      </c>
      <c r="O270" s="15">
        <v>495.2</v>
      </c>
      <c r="P270" s="15">
        <v>515</v>
      </c>
      <c r="Q270" s="59"/>
    </row>
    <row r="271" spans="1:17" s="3" customFormat="1" ht="22.5" customHeight="1">
      <c r="A271" s="59">
        <v>812</v>
      </c>
      <c r="B271" s="59" t="s">
        <v>451</v>
      </c>
      <c r="C271" s="55" t="s">
        <v>447</v>
      </c>
      <c r="D271" s="46" t="s">
        <v>589</v>
      </c>
      <c r="E271" s="47"/>
      <c r="F271" s="59" t="s">
        <v>187</v>
      </c>
      <c r="G271" s="63">
        <v>41311</v>
      </c>
      <c r="H271" s="59" t="s">
        <v>7</v>
      </c>
      <c r="I271" s="59">
        <v>1004</v>
      </c>
      <c r="J271" s="59">
        <v>7010060270</v>
      </c>
      <c r="K271" s="14" t="s">
        <v>141</v>
      </c>
      <c r="L271" s="59">
        <v>200</v>
      </c>
      <c r="M271" s="15">
        <v>105.638</v>
      </c>
      <c r="N271" s="15">
        <v>11.814</v>
      </c>
      <c r="O271" s="15">
        <v>255.424</v>
      </c>
      <c r="P271" s="15">
        <v>130.06</v>
      </c>
      <c r="Q271" s="59" t="s">
        <v>123</v>
      </c>
    </row>
    <row r="272" spans="1:20" s="9" customFormat="1" ht="88.5" customHeight="1">
      <c r="A272" s="66"/>
      <c r="B272" s="66"/>
      <c r="C272" s="67"/>
      <c r="D272" s="50"/>
      <c r="E272" s="51"/>
      <c r="F272" s="59"/>
      <c r="G272" s="66"/>
      <c r="H272" s="59"/>
      <c r="I272" s="59"/>
      <c r="J272" s="59"/>
      <c r="K272" s="14" t="s">
        <v>147</v>
      </c>
      <c r="L272" s="59"/>
      <c r="M272" s="15">
        <v>528.2</v>
      </c>
      <c r="N272" s="15">
        <v>488.683</v>
      </c>
      <c r="O272" s="15">
        <v>1277.22</v>
      </c>
      <c r="P272" s="15">
        <v>650.31</v>
      </c>
      <c r="Q272" s="59"/>
      <c r="S272" s="9">
        <v>1004</v>
      </c>
      <c r="T272" s="137">
        <f>P272+P271+P270+P269+P268+P267+P266+P265+P264+P263+P262+P261+P260+P259</f>
        <v>73052.87</v>
      </c>
    </row>
    <row r="273" spans="1:20" ht="47.25" customHeight="1">
      <c r="A273" s="12">
        <v>812</v>
      </c>
      <c r="B273" s="12" t="s">
        <v>452</v>
      </c>
      <c r="C273" s="22" t="s">
        <v>110</v>
      </c>
      <c r="D273" s="103" t="s">
        <v>378</v>
      </c>
      <c r="E273" s="55"/>
      <c r="F273" s="12" t="s">
        <v>160</v>
      </c>
      <c r="G273" s="13">
        <v>41480</v>
      </c>
      <c r="H273" s="12" t="s">
        <v>7</v>
      </c>
      <c r="I273" s="14" t="s">
        <v>131</v>
      </c>
      <c r="J273" s="14" t="s">
        <v>310</v>
      </c>
      <c r="K273" s="14" t="s">
        <v>141</v>
      </c>
      <c r="L273" s="14" t="s">
        <v>141</v>
      </c>
      <c r="M273" s="15">
        <v>338.198</v>
      </c>
      <c r="N273" s="15">
        <v>338.198</v>
      </c>
      <c r="O273" s="15">
        <v>600</v>
      </c>
      <c r="P273" s="15">
        <v>625</v>
      </c>
      <c r="Q273" s="12" t="s">
        <v>123</v>
      </c>
      <c r="S273" s="1">
        <v>10</v>
      </c>
      <c r="T273" s="44">
        <f>P280+P279+P278+P277+P276+P275+P274+P273+P272+P271+P270+P269+P268+P267+P266+P265+P264+P261+P259+P258+P257+P256+P255+P253+P254+P252+P251+P250+P249+P248+P247+P246+P245+P243+P242+P241+P240+P239+P238+P237+P236+P235+P234+P233+P232+P231+P230+P229+P228+P227+P226+P225+P224+P223+P222+P221+P220+P219+P218+P217+P216+P215+P214+P210+P209+P208</f>
        <v>354733.24700000003</v>
      </c>
    </row>
    <row r="274" spans="1:17" ht="23.25" customHeight="1">
      <c r="A274" s="59">
        <v>812</v>
      </c>
      <c r="B274" s="59" t="s">
        <v>453</v>
      </c>
      <c r="C274" s="55" t="s">
        <v>353</v>
      </c>
      <c r="D274" s="103" t="s">
        <v>621</v>
      </c>
      <c r="E274" s="55"/>
      <c r="F274" s="59" t="s">
        <v>157</v>
      </c>
      <c r="G274" s="63">
        <v>44197</v>
      </c>
      <c r="H274" s="63">
        <v>45657</v>
      </c>
      <c r="I274" s="65" t="s">
        <v>131</v>
      </c>
      <c r="J274" s="65" t="s">
        <v>354</v>
      </c>
      <c r="K274" s="14" t="s">
        <v>145</v>
      </c>
      <c r="L274" s="14" t="s">
        <v>141</v>
      </c>
      <c r="M274" s="15">
        <v>0</v>
      </c>
      <c r="N274" s="15">
        <v>0</v>
      </c>
      <c r="O274" s="15">
        <v>0</v>
      </c>
      <c r="P274" s="15">
        <f>O274</f>
        <v>0</v>
      </c>
      <c r="Q274" s="59" t="s">
        <v>119</v>
      </c>
    </row>
    <row r="275" spans="1:20" ht="23.25" customHeight="1">
      <c r="A275" s="59"/>
      <c r="B275" s="59"/>
      <c r="C275" s="55"/>
      <c r="D275" s="55"/>
      <c r="E275" s="55"/>
      <c r="F275" s="66"/>
      <c r="G275" s="59"/>
      <c r="H275" s="59"/>
      <c r="I275" s="65"/>
      <c r="J275" s="59"/>
      <c r="K275" s="14" t="s">
        <v>141</v>
      </c>
      <c r="L275" s="14" t="s">
        <v>114</v>
      </c>
      <c r="M275" s="15">
        <v>857.279</v>
      </c>
      <c r="N275" s="15">
        <v>798.475</v>
      </c>
      <c r="O275" s="15">
        <v>865.5</v>
      </c>
      <c r="P275" s="15">
        <v>624.2</v>
      </c>
      <c r="Q275" s="59"/>
      <c r="S275" s="1">
        <v>1006</v>
      </c>
      <c r="T275" s="44">
        <f>P273+P274+P275+P276+P277+P278+P279+P280</f>
        <v>38258.312000000005</v>
      </c>
    </row>
    <row r="276" spans="1:17" ht="28.5" customHeight="1">
      <c r="A276" s="59"/>
      <c r="B276" s="59"/>
      <c r="C276" s="55"/>
      <c r="D276" s="55"/>
      <c r="E276" s="55"/>
      <c r="F276" s="66"/>
      <c r="G276" s="59"/>
      <c r="H276" s="59"/>
      <c r="I276" s="65"/>
      <c r="J276" s="59"/>
      <c r="K276" s="14" t="s">
        <v>147</v>
      </c>
      <c r="L276" s="14" t="s">
        <v>141</v>
      </c>
      <c r="M276" s="15">
        <v>816.344</v>
      </c>
      <c r="N276" s="15">
        <v>815.866</v>
      </c>
      <c r="O276" s="15">
        <v>1598.4</v>
      </c>
      <c r="P276" s="15">
        <v>1356.8</v>
      </c>
      <c r="Q276" s="59"/>
    </row>
    <row r="277" spans="1:17" ht="22.5" customHeight="1">
      <c r="A277" s="59"/>
      <c r="B277" s="59"/>
      <c r="C277" s="55"/>
      <c r="D277" s="55"/>
      <c r="E277" s="55"/>
      <c r="F277" s="66"/>
      <c r="G277" s="59"/>
      <c r="H277" s="59"/>
      <c r="I277" s="65"/>
      <c r="J277" s="59"/>
      <c r="K277" s="14" t="s">
        <v>112</v>
      </c>
      <c r="L277" s="14" t="s">
        <v>141</v>
      </c>
      <c r="M277" s="15">
        <v>544.73</v>
      </c>
      <c r="N277" s="15">
        <v>518.734</v>
      </c>
      <c r="O277" s="15">
        <v>1903.5</v>
      </c>
      <c r="P277" s="15">
        <v>2381.4</v>
      </c>
      <c r="Q277" s="59"/>
    </row>
    <row r="278" spans="1:17" ht="30" customHeight="1">
      <c r="A278" s="59">
        <v>812</v>
      </c>
      <c r="B278" s="59" t="s">
        <v>454</v>
      </c>
      <c r="C278" s="56" t="s">
        <v>55</v>
      </c>
      <c r="D278" s="55" t="s">
        <v>229</v>
      </c>
      <c r="E278" s="55"/>
      <c r="F278" s="59" t="s">
        <v>154</v>
      </c>
      <c r="G278" s="63">
        <v>41068</v>
      </c>
      <c r="H278" s="59" t="s">
        <v>7</v>
      </c>
      <c r="I278" s="65" t="s">
        <v>131</v>
      </c>
      <c r="J278" s="65" t="s">
        <v>193</v>
      </c>
      <c r="K278" s="14" t="s">
        <v>145</v>
      </c>
      <c r="L278" s="12">
        <v>200</v>
      </c>
      <c r="M278" s="15">
        <f>21897.988+6.181+6510.999</f>
        <v>28415.168</v>
      </c>
      <c r="N278" s="15">
        <f>21897.874+6.111+6510.999</f>
        <v>28414.984</v>
      </c>
      <c r="O278" s="28">
        <v>28475.4</v>
      </c>
      <c r="P278" s="15">
        <v>28146.112</v>
      </c>
      <c r="Q278" s="59" t="s">
        <v>123</v>
      </c>
    </row>
    <row r="279" spans="1:17" ht="27" customHeight="1">
      <c r="A279" s="59"/>
      <c r="B279" s="59"/>
      <c r="C279" s="57"/>
      <c r="D279" s="67"/>
      <c r="E279" s="67"/>
      <c r="F279" s="66"/>
      <c r="G279" s="63"/>
      <c r="H279" s="59"/>
      <c r="I279" s="65"/>
      <c r="J279" s="65"/>
      <c r="K279" s="14" t="s">
        <v>141</v>
      </c>
      <c r="L279" s="12" t="s">
        <v>114</v>
      </c>
      <c r="M279" s="15">
        <f>2205.726+2834.329</f>
        <v>5040.055</v>
      </c>
      <c r="N279" s="15">
        <f>2173.957+2592.226</f>
        <v>4766.183</v>
      </c>
      <c r="O279" s="28">
        <v>9727.4999</v>
      </c>
      <c r="P279" s="15">
        <v>5086</v>
      </c>
      <c r="Q279" s="59"/>
    </row>
    <row r="280" spans="1:17" ht="18" customHeight="1">
      <c r="A280" s="59"/>
      <c r="B280" s="59"/>
      <c r="C280" s="58"/>
      <c r="D280" s="67"/>
      <c r="E280" s="67"/>
      <c r="F280" s="66"/>
      <c r="G280" s="63"/>
      <c r="H280" s="59"/>
      <c r="I280" s="59"/>
      <c r="J280" s="59"/>
      <c r="K280" s="12">
        <v>800</v>
      </c>
      <c r="L280" s="12">
        <v>200</v>
      </c>
      <c r="M280" s="15">
        <f>19.451+22.713</f>
        <v>42.164</v>
      </c>
      <c r="N280" s="15">
        <f>19.051+22.513</f>
        <v>41.564</v>
      </c>
      <c r="O280" s="15">
        <v>39</v>
      </c>
      <c r="P280" s="15">
        <v>38.8</v>
      </c>
      <c r="Q280" s="59"/>
    </row>
    <row r="281" spans="1:17" ht="108.75" customHeight="1">
      <c r="A281" s="59">
        <v>812</v>
      </c>
      <c r="B281" s="59" t="s">
        <v>455</v>
      </c>
      <c r="C281" s="55" t="s">
        <v>355</v>
      </c>
      <c r="D281" s="55" t="s">
        <v>460</v>
      </c>
      <c r="E281" s="55"/>
      <c r="F281" s="12" t="s">
        <v>237</v>
      </c>
      <c r="G281" s="63">
        <v>40544</v>
      </c>
      <c r="H281" s="59" t="s">
        <v>7</v>
      </c>
      <c r="I281" s="65" t="s">
        <v>139</v>
      </c>
      <c r="J281" s="65" t="s">
        <v>311</v>
      </c>
      <c r="K281" s="65" t="s">
        <v>112</v>
      </c>
      <c r="L281" s="59">
        <v>241</v>
      </c>
      <c r="M281" s="64">
        <v>86315.4</v>
      </c>
      <c r="N281" s="64">
        <v>86315.4</v>
      </c>
      <c r="O281" s="64">
        <v>102337</v>
      </c>
      <c r="P281" s="64">
        <v>105752.863</v>
      </c>
      <c r="Q281" s="59" t="s">
        <v>123</v>
      </c>
    </row>
    <row r="282" spans="1:17" ht="55.5" customHeight="1">
      <c r="A282" s="59"/>
      <c r="B282" s="59"/>
      <c r="C282" s="55"/>
      <c r="D282" s="55" t="s">
        <v>168</v>
      </c>
      <c r="E282" s="55"/>
      <c r="F282" s="12" t="s">
        <v>171</v>
      </c>
      <c r="G282" s="63"/>
      <c r="H282" s="59"/>
      <c r="I282" s="65"/>
      <c r="J282" s="65"/>
      <c r="K282" s="65"/>
      <c r="L282" s="59"/>
      <c r="M282" s="64"/>
      <c r="N282" s="64"/>
      <c r="O282" s="64"/>
      <c r="P282" s="64"/>
      <c r="Q282" s="59"/>
    </row>
    <row r="283" spans="1:17" ht="37.5" customHeight="1">
      <c r="A283" s="59">
        <v>812</v>
      </c>
      <c r="B283" s="59" t="s">
        <v>456</v>
      </c>
      <c r="C283" s="55" t="s">
        <v>230</v>
      </c>
      <c r="D283" s="55" t="s">
        <v>459</v>
      </c>
      <c r="E283" s="67"/>
      <c r="F283" s="59" t="s">
        <v>470</v>
      </c>
      <c r="G283" s="63">
        <v>41312</v>
      </c>
      <c r="H283" s="59" t="s">
        <v>7</v>
      </c>
      <c r="I283" s="65" t="s">
        <v>56</v>
      </c>
      <c r="J283" s="65" t="s">
        <v>377</v>
      </c>
      <c r="K283" s="14" t="s">
        <v>141</v>
      </c>
      <c r="L283" s="12">
        <v>300</v>
      </c>
      <c r="M283" s="15">
        <v>701.7</v>
      </c>
      <c r="N283" s="15">
        <v>701.656</v>
      </c>
      <c r="O283" s="15">
        <v>720</v>
      </c>
      <c r="P283" s="15">
        <v>748.8</v>
      </c>
      <c r="Q283" s="59" t="s">
        <v>123</v>
      </c>
    </row>
    <row r="284" spans="1:20" ht="47.25" customHeight="1">
      <c r="A284" s="59"/>
      <c r="B284" s="59"/>
      <c r="C284" s="55"/>
      <c r="D284" s="67"/>
      <c r="E284" s="67"/>
      <c r="F284" s="59"/>
      <c r="G284" s="63"/>
      <c r="H284" s="59"/>
      <c r="I284" s="65"/>
      <c r="J284" s="65"/>
      <c r="K284" s="14" t="s">
        <v>147</v>
      </c>
      <c r="L284" s="21">
        <v>200</v>
      </c>
      <c r="M284" s="15">
        <v>480</v>
      </c>
      <c r="N284" s="15">
        <v>480</v>
      </c>
      <c r="O284" s="15">
        <v>480</v>
      </c>
      <c r="P284" s="15">
        <v>499.2</v>
      </c>
      <c r="Q284" s="59"/>
      <c r="S284" s="1">
        <v>11</v>
      </c>
      <c r="T284" s="44">
        <f>P284+P283+P281</f>
        <v>107000.863</v>
      </c>
    </row>
    <row r="285" spans="1:17" ht="81" customHeight="1">
      <c r="A285" s="59">
        <v>812</v>
      </c>
      <c r="B285" s="59" t="s">
        <v>457</v>
      </c>
      <c r="C285" s="55" t="s">
        <v>415</v>
      </c>
      <c r="D285" s="55" t="s">
        <v>203</v>
      </c>
      <c r="E285" s="55"/>
      <c r="F285" s="12" t="s">
        <v>187</v>
      </c>
      <c r="G285" s="63">
        <v>44197</v>
      </c>
      <c r="H285" s="63">
        <v>44561</v>
      </c>
      <c r="I285" s="65" t="s">
        <v>416</v>
      </c>
      <c r="J285" s="65" t="s">
        <v>417</v>
      </c>
      <c r="K285" s="65" t="s">
        <v>112</v>
      </c>
      <c r="L285" s="59">
        <v>241</v>
      </c>
      <c r="M285" s="64">
        <v>1425.43</v>
      </c>
      <c r="N285" s="64">
        <v>1266.231</v>
      </c>
      <c r="O285" s="64">
        <v>3157.1431</v>
      </c>
      <c r="P285" s="64">
        <v>0</v>
      </c>
      <c r="Q285" s="59" t="s">
        <v>123</v>
      </c>
    </row>
    <row r="286" spans="1:17" ht="53.25" customHeight="1">
      <c r="A286" s="59"/>
      <c r="B286" s="59"/>
      <c r="C286" s="55"/>
      <c r="D286" s="55" t="s">
        <v>168</v>
      </c>
      <c r="E286" s="55"/>
      <c r="F286" s="12" t="s">
        <v>169</v>
      </c>
      <c r="G286" s="63"/>
      <c r="H286" s="59"/>
      <c r="I286" s="65"/>
      <c r="J286" s="65"/>
      <c r="K286" s="65"/>
      <c r="L286" s="59"/>
      <c r="M286" s="64"/>
      <c r="N286" s="64"/>
      <c r="O286" s="64"/>
      <c r="P286" s="64"/>
      <c r="Q286" s="59"/>
    </row>
    <row r="287" spans="1:17" ht="76.5" customHeight="1">
      <c r="A287" s="12">
        <v>812</v>
      </c>
      <c r="B287" s="12" t="s">
        <v>593</v>
      </c>
      <c r="C287" s="22" t="s">
        <v>590</v>
      </c>
      <c r="D287" s="69" t="s">
        <v>591</v>
      </c>
      <c r="E287" s="128"/>
      <c r="F287" s="37" t="s">
        <v>594</v>
      </c>
      <c r="G287" s="13">
        <v>44445</v>
      </c>
      <c r="H287" s="13">
        <v>44561</v>
      </c>
      <c r="I287" s="14" t="s">
        <v>416</v>
      </c>
      <c r="J287" s="14" t="s">
        <v>592</v>
      </c>
      <c r="K287" s="14" t="s">
        <v>146</v>
      </c>
      <c r="L287" s="12">
        <v>242</v>
      </c>
      <c r="M287" s="15">
        <v>0</v>
      </c>
      <c r="N287" s="15">
        <v>0</v>
      </c>
      <c r="O287" s="15">
        <v>1323</v>
      </c>
      <c r="P287" s="15">
        <v>0</v>
      </c>
      <c r="Q287" s="12" t="s">
        <v>123</v>
      </c>
    </row>
    <row r="288" spans="1:20" ht="99.75" customHeight="1">
      <c r="A288" s="59">
        <v>812</v>
      </c>
      <c r="B288" s="59" t="s">
        <v>458</v>
      </c>
      <c r="C288" s="45" t="s">
        <v>231</v>
      </c>
      <c r="D288" s="55" t="s">
        <v>460</v>
      </c>
      <c r="E288" s="55"/>
      <c r="F288" s="12" t="s">
        <v>187</v>
      </c>
      <c r="G288" s="63">
        <v>40544</v>
      </c>
      <c r="H288" s="59" t="s">
        <v>7</v>
      </c>
      <c r="I288" s="65" t="s">
        <v>57</v>
      </c>
      <c r="J288" s="65" t="s">
        <v>202</v>
      </c>
      <c r="K288" s="65" t="s">
        <v>112</v>
      </c>
      <c r="L288" s="59">
        <v>200</v>
      </c>
      <c r="M288" s="64">
        <v>8388.8</v>
      </c>
      <c r="N288" s="64">
        <v>8388.8</v>
      </c>
      <c r="O288" s="64">
        <v>12072.45</v>
      </c>
      <c r="P288" s="64">
        <v>9102.7</v>
      </c>
      <c r="Q288" s="59" t="s">
        <v>123</v>
      </c>
      <c r="S288" s="1">
        <v>12</v>
      </c>
      <c r="T288" s="44">
        <f>P288</f>
        <v>9102.7</v>
      </c>
    </row>
    <row r="289" spans="1:17" ht="59.25" customHeight="1">
      <c r="A289" s="59"/>
      <c r="B289" s="59"/>
      <c r="C289" s="45"/>
      <c r="D289" s="55" t="s">
        <v>168</v>
      </c>
      <c r="E289" s="55"/>
      <c r="F289" s="12" t="s">
        <v>171</v>
      </c>
      <c r="G289" s="63"/>
      <c r="H289" s="59"/>
      <c r="I289" s="65"/>
      <c r="J289" s="65"/>
      <c r="K289" s="65"/>
      <c r="L289" s="59"/>
      <c r="M289" s="64"/>
      <c r="N289" s="64"/>
      <c r="O289" s="64"/>
      <c r="P289" s="64"/>
      <c r="Q289" s="59"/>
    </row>
    <row r="290" spans="1:17" ht="25.5" customHeight="1">
      <c r="A290" s="104" t="s">
        <v>241</v>
      </c>
      <c r="B290" s="105"/>
      <c r="C290" s="106"/>
      <c r="D290" s="107"/>
      <c r="E290" s="108"/>
      <c r="F290" s="17"/>
      <c r="G290" s="17"/>
      <c r="H290" s="17"/>
      <c r="I290" s="17"/>
      <c r="J290" s="17"/>
      <c r="K290" s="17"/>
      <c r="L290" s="17"/>
      <c r="M290" s="18">
        <f>SUM(M11:M289)</f>
        <v>3498670.4220000003</v>
      </c>
      <c r="N290" s="18">
        <f>SUM(N11:N289)</f>
        <v>3456576.955229999</v>
      </c>
      <c r="O290" s="18">
        <f>SUM(O11:O289)+0.1</f>
        <v>3621796.012420001</v>
      </c>
      <c r="P290" s="18">
        <f>SUM(P11:P289)</f>
        <v>3755221.539999999</v>
      </c>
      <c r="Q290" s="10"/>
    </row>
    <row r="291" spans="3:17" ht="33" customHeight="1">
      <c r="C291" s="1"/>
      <c r="D291" s="1"/>
      <c r="E291" s="1"/>
      <c r="F291" s="1"/>
      <c r="O291" s="4"/>
      <c r="Q291" s="1"/>
    </row>
    <row r="292" spans="3:16" ht="22.5" customHeight="1">
      <c r="C292" s="6"/>
      <c r="D292" s="7"/>
      <c r="E292" s="1"/>
      <c r="F292" s="1"/>
      <c r="M292" s="8"/>
      <c r="N292" s="8"/>
      <c r="O292" s="138" t="s">
        <v>574</v>
      </c>
      <c r="P292" s="139" t="s">
        <v>573</v>
      </c>
    </row>
    <row r="294" spans="3:17" ht="18.75">
      <c r="C294" s="6" t="s">
        <v>598</v>
      </c>
      <c r="D294" s="1"/>
      <c r="E294" s="1"/>
      <c r="F294" s="1"/>
      <c r="Q294" s="1"/>
    </row>
    <row r="295" spans="3:17" ht="36" customHeight="1">
      <c r="C295" s="11" t="s">
        <v>599</v>
      </c>
      <c r="D295" s="1"/>
      <c r="E295" s="1"/>
      <c r="F295" s="1"/>
      <c r="Q295" s="1"/>
    </row>
    <row r="296" spans="3:17" ht="15.75">
      <c r="C296" s="5"/>
      <c r="D296" s="1"/>
      <c r="E296" s="1"/>
      <c r="F296" s="1"/>
      <c r="Q296" s="1"/>
    </row>
    <row r="297" spans="3:17" ht="15.75">
      <c r="C297" s="2" t="s">
        <v>600</v>
      </c>
      <c r="D297" s="1"/>
      <c r="E297" s="1"/>
      <c r="F297" s="1"/>
      <c r="Q297" s="1"/>
    </row>
  </sheetData>
  <sheetProtection/>
  <mergeCells count="1041">
    <mergeCell ref="Q80:Q82"/>
    <mergeCell ref="D184:E184"/>
    <mergeCell ref="D63:E63"/>
    <mergeCell ref="D75:E75"/>
    <mergeCell ref="D76:E76"/>
    <mergeCell ref="A80:A82"/>
    <mergeCell ref="B80:B82"/>
    <mergeCell ref="C80:C82"/>
    <mergeCell ref="D80:E82"/>
    <mergeCell ref="A68:A71"/>
    <mergeCell ref="D62:E62"/>
    <mergeCell ref="F80:F82"/>
    <mergeCell ref="G80:G82"/>
    <mergeCell ref="H80:H82"/>
    <mergeCell ref="I80:I82"/>
    <mergeCell ref="J80:J82"/>
    <mergeCell ref="F68:F71"/>
    <mergeCell ref="G68:G71"/>
    <mergeCell ref="G77:G79"/>
    <mergeCell ref="I68:I71"/>
    <mergeCell ref="H11:H12"/>
    <mergeCell ref="I11:I12"/>
    <mergeCell ref="J11:J12"/>
    <mergeCell ref="Q11:Q12"/>
    <mergeCell ref="A11:A12"/>
    <mergeCell ref="B11:B12"/>
    <mergeCell ref="C11:C12"/>
    <mergeCell ref="D11:E12"/>
    <mergeCell ref="F11:F12"/>
    <mergeCell ref="G11:G12"/>
    <mergeCell ref="A33:A36"/>
    <mergeCell ref="B33:B36"/>
    <mergeCell ref="C33:C36"/>
    <mergeCell ref="D33:E33"/>
    <mergeCell ref="Q33:Q36"/>
    <mergeCell ref="D34:E34"/>
    <mergeCell ref="D35:E35"/>
    <mergeCell ref="D36:E36"/>
    <mergeCell ref="B68:B71"/>
    <mergeCell ref="C68:C71"/>
    <mergeCell ref="J65:J67"/>
    <mergeCell ref="D136:E136"/>
    <mergeCell ref="N88:N89"/>
    <mergeCell ref="A65:A67"/>
    <mergeCell ref="D65:E67"/>
    <mergeCell ref="F65:F67"/>
    <mergeCell ref="G65:G67"/>
    <mergeCell ref="D68:E71"/>
    <mergeCell ref="D64:E64"/>
    <mergeCell ref="B65:B67"/>
    <mergeCell ref="C65:C67"/>
    <mergeCell ref="P56:P57"/>
    <mergeCell ref="Q56:Q57"/>
    <mergeCell ref="D57:E57"/>
    <mergeCell ref="D58:E58"/>
    <mergeCell ref="K59:K60"/>
    <mergeCell ref="Q59:Q60"/>
    <mergeCell ref="N56:N57"/>
    <mergeCell ref="A77:A79"/>
    <mergeCell ref="B77:B79"/>
    <mergeCell ref="C77:C79"/>
    <mergeCell ref="D77:E79"/>
    <mergeCell ref="F77:F79"/>
    <mergeCell ref="D73:E73"/>
    <mergeCell ref="C59:C60"/>
    <mergeCell ref="G59:G60"/>
    <mergeCell ref="K56:K57"/>
    <mergeCell ref="L56:L57"/>
    <mergeCell ref="M56:M57"/>
    <mergeCell ref="I56:I57"/>
    <mergeCell ref="J56:J57"/>
    <mergeCell ref="J59:J60"/>
    <mergeCell ref="A52:A55"/>
    <mergeCell ref="H59:H60"/>
    <mergeCell ref="D89:E89"/>
    <mergeCell ref="A56:A57"/>
    <mergeCell ref="B56:B57"/>
    <mergeCell ref="C56:C57"/>
    <mergeCell ref="D56:E56"/>
    <mergeCell ref="G56:G57"/>
    <mergeCell ref="B88:B89"/>
    <mergeCell ref="C88:C89"/>
    <mergeCell ref="A48:A51"/>
    <mergeCell ref="B48:B51"/>
    <mergeCell ref="C48:C51"/>
    <mergeCell ref="D48:E51"/>
    <mergeCell ref="F48:F51"/>
    <mergeCell ref="G48:G51"/>
    <mergeCell ref="J111:J112"/>
    <mergeCell ref="D94:E94"/>
    <mergeCell ref="N2:Q2"/>
    <mergeCell ref="D83:E83"/>
    <mergeCell ref="D25:E25"/>
    <mergeCell ref="G45:G47"/>
    <mergeCell ref="Q65:Q67"/>
    <mergeCell ref="O56:O57"/>
    <mergeCell ref="G37:G38"/>
    <mergeCell ref="H37:H38"/>
    <mergeCell ref="A204:A207"/>
    <mergeCell ref="P129:P130"/>
    <mergeCell ref="C111:C112"/>
    <mergeCell ref="H129:H130"/>
    <mergeCell ref="I129:I130"/>
    <mergeCell ref="C138:C140"/>
    <mergeCell ref="C127:C128"/>
    <mergeCell ref="N111:N112"/>
    <mergeCell ref="I113:I114"/>
    <mergeCell ref="J113:J114"/>
    <mergeCell ref="Q138:Q140"/>
    <mergeCell ref="C108:C109"/>
    <mergeCell ref="D103:E103"/>
    <mergeCell ref="G104:G107"/>
    <mergeCell ref="N108:N109"/>
    <mergeCell ref="D102:E102"/>
    <mergeCell ref="D130:E130"/>
    <mergeCell ref="G129:G130"/>
    <mergeCell ref="J129:J130"/>
    <mergeCell ref="J138:J140"/>
    <mergeCell ref="A92:A93"/>
    <mergeCell ref="A166:A169"/>
    <mergeCell ref="B166:B169"/>
    <mergeCell ref="C166:C169"/>
    <mergeCell ref="D166:E169"/>
    <mergeCell ref="A138:A140"/>
    <mergeCell ref="D97:E97"/>
    <mergeCell ref="A146:A147"/>
    <mergeCell ref="B127:B128"/>
    <mergeCell ref="A144:A145"/>
    <mergeCell ref="F166:F169"/>
    <mergeCell ref="D156:E156"/>
    <mergeCell ref="H189:H190"/>
    <mergeCell ref="I189:I190"/>
    <mergeCell ref="H170:H173"/>
    <mergeCell ref="H176:H178"/>
    <mergeCell ref="H166:H169"/>
    <mergeCell ref="I166:I169"/>
    <mergeCell ref="D170:E173"/>
    <mergeCell ref="I176:I178"/>
    <mergeCell ref="Q166:Q169"/>
    <mergeCell ref="B138:B140"/>
    <mergeCell ref="J166:J169"/>
    <mergeCell ref="J131:J132"/>
    <mergeCell ref="I127:I128"/>
    <mergeCell ref="K129:K130"/>
    <mergeCell ref="L129:L130"/>
    <mergeCell ref="M129:M130"/>
    <mergeCell ref="Q133:Q135"/>
    <mergeCell ref="P133:P135"/>
    <mergeCell ref="G99:G101"/>
    <mergeCell ref="D59:E60"/>
    <mergeCell ref="F59:F60"/>
    <mergeCell ref="H48:H51"/>
    <mergeCell ref="H77:H79"/>
    <mergeCell ref="H68:H71"/>
    <mergeCell ref="G88:G89"/>
    <mergeCell ref="D84:E84"/>
    <mergeCell ref="D87:E87"/>
    <mergeCell ref="D61:E61"/>
    <mergeCell ref="H42:H44"/>
    <mergeCell ref="H56:H57"/>
    <mergeCell ref="M133:M135"/>
    <mergeCell ref="N131:N132"/>
    <mergeCell ref="Q129:Q130"/>
    <mergeCell ref="O133:O135"/>
    <mergeCell ref="O129:O130"/>
    <mergeCell ref="N129:N130"/>
    <mergeCell ref="Q127:Q128"/>
    <mergeCell ref="P131:P132"/>
    <mergeCell ref="L131:L132"/>
    <mergeCell ref="M131:M132"/>
    <mergeCell ref="Q131:Q132"/>
    <mergeCell ref="N127:N128"/>
    <mergeCell ref="P127:P128"/>
    <mergeCell ref="O131:O132"/>
    <mergeCell ref="L267:L268"/>
    <mergeCell ref="D250:E251"/>
    <mergeCell ref="F250:F251"/>
    <mergeCell ref="P92:P93"/>
    <mergeCell ref="O92:O93"/>
    <mergeCell ref="H108:H109"/>
    <mergeCell ref="D112:E112"/>
    <mergeCell ref="D190:E190"/>
    <mergeCell ref="L179:L180"/>
    <mergeCell ref="K179:K180"/>
    <mergeCell ref="G21:G24"/>
    <mergeCell ref="D86:E86"/>
    <mergeCell ref="H267:H268"/>
    <mergeCell ref="I267:I268"/>
    <mergeCell ref="J267:J268"/>
    <mergeCell ref="N133:N135"/>
    <mergeCell ref="K133:K135"/>
    <mergeCell ref="L133:L135"/>
    <mergeCell ref="H133:H135"/>
    <mergeCell ref="J133:J135"/>
    <mergeCell ref="J256:J257"/>
    <mergeCell ref="I246:I247"/>
    <mergeCell ref="A21:A24"/>
    <mergeCell ref="B21:B24"/>
    <mergeCell ref="C21:C24"/>
    <mergeCell ref="D21:E24"/>
    <mergeCell ref="I21:I24"/>
    <mergeCell ref="D109:E109"/>
    <mergeCell ref="D108:E108"/>
    <mergeCell ref="F21:F24"/>
    <mergeCell ref="H288:H289"/>
    <mergeCell ref="I288:I289"/>
    <mergeCell ref="J288:J289"/>
    <mergeCell ref="J274:J277"/>
    <mergeCell ref="I278:I280"/>
    <mergeCell ref="J278:J280"/>
    <mergeCell ref="H281:H282"/>
    <mergeCell ref="K288:K289"/>
    <mergeCell ref="L229:L230"/>
    <mergeCell ref="A290:C290"/>
    <mergeCell ref="D290:E290"/>
    <mergeCell ref="A288:A289"/>
    <mergeCell ref="B288:B289"/>
    <mergeCell ref="C288:C289"/>
    <mergeCell ref="D288:E288"/>
    <mergeCell ref="G288:G289"/>
    <mergeCell ref="A283:A284"/>
    <mergeCell ref="O288:O289"/>
    <mergeCell ref="J21:J24"/>
    <mergeCell ref="L288:L289"/>
    <mergeCell ref="P288:P289"/>
    <mergeCell ref="Q288:Q289"/>
    <mergeCell ref="Q21:Q24"/>
    <mergeCell ref="N288:N289"/>
    <mergeCell ref="M288:M289"/>
    <mergeCell ref="J229:J230"/>
    <mergeCell ref="L127:L128"/>
    <mergeCell ref="D289:E289"/>
    <mergeCell ref="F283:F284"/>
    <mergeCell ref="G283:G284"/>
    <mergeCell ref="B283:B284"/>
    <mergeCell ref="G285:G286"/>
    <mergeCell ref="P281:P282"/>
    <mergeCell ref="K281:K282"/>
    <mergeCell ref="L281:L282"/>
    <mergeCell ref="M281:M282"/>
    <mergeCell ref="P285:P286"/>
    <mergeCell ref="Q283:Q284"/>
    <mergeCell ref="H283:H284"/>
    <mergeCell ref="I283:I284"/>
    <mergeCell ref="J283:J284"/>
    <mergeCell ref="J281:J282"/>
    <mergeCell ref="N281:N282"/>
    <mergeCell ref="I281:I282"/>
    <mergeCell ref="O281:O282"/>
    <mergeCell ref="A281:A282"/>
    <mergeCell ref="B281:B282"/>
    <mergeCell ref="C281:C282"/>
    <mergeCell ref="D281:E281"/>
    <mergeCell ref="G281:G282"/>
    <mergeCell ref="D282:E282"/>
    <mergeCell ref="A269:A270"/>
    <mergeCell ref="Q278:Q280"/>
    <mergeCell ref="D273:E273"/>
    <mergeCell ref="D274:E277"/>
    <mergeCell ref="F274:F277"/>
    <mergeCell ref="G274:G277"/>
    <mergeCell ref="H274:H277"/>
    <mergeCell ref="Q274:Q277"/>
    <mergeCell ref="G278:G280"/>
    <mergeCell ref="H278:H280"/>
    <mergeCell ref="A278:A280"/>
    <mergeCell ref="B278:B280"/>
    <mergeCell ref="C278:C280"/>
    <mergeCell ref="D278:E280"/>
    <mergeCell ref="F278:F280"/>
    <mergeCell ref="A274:A277"/>
    <mergeCell ref="B274:B277"/>
    <mergeCell ref="C274:C277"/>
    <mergeCell ref="Q269:Q270"/>
    <mergeCell ref="D218:E218"/>
    <mergeCell ref="D259:E259"/>
    <mergeCell ref="Q250:Q251"/>
    <mergeCell ref="H269:H270"/>
    <mergeCell ref="I269:I270"/>
    <mergeCell ref="J269:J270"/>
    <mergeCell ref="G248:G249"/>
    <mergeCell ref="L269:L270"/>
    <mergeCell ref="D261:E261"/>
    <mergeCell ref="Q221:Q222"/>
    <mergeCell ref="G250:G251"/>
    <mergeCell ref="L248:L249"/>
    <mergeCell ref="I248:I249"/>
    <mergeCell ref="J248:J249"/>
    <mergeCell ref="H248:H249"/>
    <mergeCell ref="Q248:Q249"/>
    <mergeCell ref="H246:H247"/>
    <mergeCell ref="J246:J247"/>
    <mergeCell ref="L246:L247"/>
    <mergeCell ref="B269:B270"/>
    <mergeCell ref="C269:C270"/>
    <mergeCell ref="D269:E270"/>
    <mergeCell ref="F269:F270"/>
    <mergeCell ref="G269:G270"/>
    <mergeCell ref="C256:C257"/>
    <mergeCell ref="D264:E264"/>
    <mergeCell ref="Q267:Q268"/>
    <mergeCell ref="D258:E258"/>
    <mergeCell ref="H250:H251"/>
    <mergeCell ref="I250:I251"/>
    <mergeCell ref="J250:J251"/>
    <mergeCell ref="L250:L251"/>
    <mergeCell ref="D260:E260"/>
    <mergeCell ref="L256:L257"/>
    <mergeCell ref="D255:E255"/>
    <mergeCell ref="J254:J255"/>
    <mergeCell ref="A267:A268"/>
    <mergeCell ref="B267:B268"/>
    <mergeCell ref="C267:C268"/>
    <mergeCell ref="D267:E268"/>
    <mergeCell ref="F267:F268"/>
    <mergeCell ref="G267:G268"/>
    <mergeCell ref="Q246:Q247"/>
    <mergeCell ref="A248:A249"/>
    <mergeCell ref="B248:B249"/>
    <mergeCell ref="C248:C249"/>
    <mergeCell ref="D248:E249"/>
    <mergeCell ref="F248:F249"/>
    <mergeCell ref="A256:A257"/>
    <mergeCell ref="B256:B257"/>
    <mergeCell ref="A250:A251"/>
    <mergeCell ref="B250:B251"/>
    <mergeCell ref="C250:C251"/>
    <mergeCell ref="J244:J245"/>
    <mergeCell ref="C244:C245"/>
    <mergeCell ref="D244:E245"/>
    <mergeCell ref="F244:F245"/>
    <mergeCell ref="I244:I245"/>
    <mergeCell ref="L244:L245"/>
    <mergeCell ref="Q244:Q245"/>
    <mergeCell ref="A246:A247"/>
    <mergeCell ref="B246:B247"/>
    <mergeCell ref="C246:C247"/>
    <mergeCell ref="D246:E247"/>
    <mergeCell ref="F246:F247"/>
    <mergeCell ref="H244:H245"/>
    <mergeCell ref="A244:A245"/>
    <mergeCell ref="B244:B245"/>
    <mergeCell ref="Q240:Q241"/>
    <mergeCell ref="A242:A243"/>
    <mergeCell ref="B242:B243"/>
    <mergeCell ref="C242:C243"/>
    <mergeCell ref="D242:E243"/>
    <mergeCell ref="F242:F243"/>
    <mergeCell ref="H242:H243"/>
    <mergeCell ref="I242:I243"/>
    <mergeCell ref="Q242:Q243"/>
    <mergeCell ref="G244:G245"/>
    <mergeCell ref="G246:G247"/>
    <mergeCell ref="H254:H255"/>
    <mergeCell ref="Q256:Q257"/>
    <mergeCell ref="A240:A241"/>
    <mergeCell ref="B240:B241"/>
    <mergeCell ref="C240:C241"/>
    <mergeCell ref="D240:E241"/>
    <mergeCell ref="F240:F241"/>
    <mergeCell ref="H240:H241"/>
    <mergeCell ref="D239:E239"/>
    <mergeCell ref="Q252:Q253"/>
    <mergeCell ref="L254:L255"/>
    <mergeCell ref="D256:E257"/>
    <mergeCell ref="F256:F257"/>
    <mergeCell ref="G256:G257"/>
    <mergeCell ref="H256:H257"/>
    <mergeCell ref="I256:I257"/>
    <mergeCell ref="G240:G241"/>
    <mergeCell ref="G242:G243"/>
    <mergeCell ref="I252:I253"/>
    <mergeCell ref="J237:J238"/>
    <mergeCell ref="L237:L238"/>
    <mergeCell ref="Q237:Q238"/>
    <mergeCell ref="I240:I241"/>
    <mergeCell ref="Q254:Q255"/>
    <mergeCell ref="J242:J243"/>
    <mergeCell ref="L242:L243"/>
    <mergeCell ref="J252:J253"/>
    <mergeCell ref="L240:L241"/>
    <mergeCell ref="Q235:Q236"/>
    <mergeCell ref="A237:A238"/>
    <mergeCell ref="B237:B238"/>
    <mergeCell ref="C237:C238"/>
    <mergeCell ref="D237:E238"/>
    <mergeCell ref="F237:F238"/>
    <mergeCell ref="G237:G238"/>
    <mergeCell ref="H237:H238"/>
    <mergeCell ref="I237:I238"/>
    <mergeCell ref="Q233:Q234"/>
    <mergeCell ref="A235:A236"/>
    <mergeCell ref="B235:B236"/>
    <mergeCell ref="C235:C236"/>
    <mergeCell ref="D235:E236"/>
    <mergeCell ref="F235:F236"/>
    <mergeCell ref="G235:G236"/>
    <mergeCell ref="H235:H236"/>
    <mergeCell ref="I235:I236"/>
    <mergeCell ref="J235:J236"/>
    <mergeCell ref="Q231:Q232"/>
    <mergeCell ref="A233:A234"/>
    <mergeCell ref="B233:B234"/>
    <mergeCell ref="C233:C234"/>
    <mergeCell ref="D233:E234"/>
    <mergeCell ref="F233:F234"/>
    <mergeCell ref="G233:G234"/>
    <mergeCell ref="H233:H234"/>
    <mergeCell ref="I233:I234"/>
    <mergeCell ref="J233:J234"/>
    <mergeCell ref="Q229:Q230"/>
    <mergeCell ref="D230:E230"/>
    <mergeCell ref="A231:A232"/>
    <mergeCell ref="B231:B232"/>
    <mergeCell ref="C231:C232"/>
    <mergeCell ref="D231:E232"/>
    <mergeCell ref="F231:F232"/>
    <mergeCell ref="G231:G232"/>
    <mergeCell ref="J231:J232"/>
    <mergeCell ref="L231:L232"/>
    <mergeCell ref="A229:A230"/>
    <mergeCell ref="B229:B230"/>
    <mergeCell ref="C229:C230"/>
    <mergeCell ref="D229:E229"/>
    <mergeCell ref="H229:H230"/>
    <mergeCell ref="I229:I230"/>
    <mergeCell ref="A252:A253"/>
    <mergeCell ref="B252:B253"/>
    <mergeCell ref="C252:C253"/>
    <mergeCell ref="D252:E252"/>
    <mergeCell ref="H252:H253"/>
    <mergeCell ref="D265:E265"/>
    <mergeCell ref="A254:A255"/>
    <mergeCell ref="B254:B255"/>
    <mergeCell ref="C254:C255"/>
    <mergeCell ref="D254:E254"/>
    <mergeCell ref="L252:L253"/>
    <mergeCell ref="H231:H232"/>
    <mergeCell ref="I231:I232"/>
    <mergeCell ref="L233:L234"/>
    <mergeCell ref="D266:E266"/>
    <mergeCell ref="L235:L236"/>
    <mergeCell ref="G254:G255"/>
    <mergeCell ref="J240:J241"/>
    <mergeCell ref="D253:E253"/>
    <mergeCell ref="I254:I255"/>
    <mergeCell ref="I225:I226"/>
    <mergeCell ref="J225:J226"/>
    <mergeCell ref="L225:L226"/>
    <mergeCell ref="Q225:Q226"/>
    <mergeCell ref="G227:G228"/>
    <mergeCell ref="H227:H228"/>
    <mergeCell ref="I227:I228"/>
    <mergeCell ref="J227:J228"/>
    <mergeCell ref="L227:L228"/>
    <mergeCell ref="I221:I222"/>
    <mergeCell ref="A227:A228"/>
    <mergeCell ref="B227:B228"/>
    <mergeCell ref="C227:C228"/>
    <mergeCell ref="D227:E228"/>
    <mergeCell ref="F227:F228"/>
    <mergeCell ref="A225:A226"/>
    <mergeCell ref="B225:B226"/>
    <mergeCell ref="G225:G226"/>
    <mergeCell ref="H225:H226"/>
    <mergeCell ref="Q223:Q224"/>
    <mergeCell ref="D263:E263"/>
    <mergeCell ref="D262:E262"/>
    <mergeCell ref="A223:A224"/>
    <mergeCell ref="B223:B224"/>
    <mergeCell ref="C223:C224"/>
    <mergeCell ref="C225:C226"/>
    <mergeCell ref="D225:E226"/>
    <mergeCell ref="F225:F226"/>
    <mergeCell ref="Q227:Q228"/>
    <mergeCell ref="I223:I224"/>
    <mergeCell ref="J223:J224"/>
    <mergeCell ref="L223:L224"/>
    <mergeCell ref="D223:E223"/>
    <mergeCell ref="G223:G224"/>
    <mergeCell ref="H223:H224"/>
    <mergeCell ref="D224:E224"/>
    <mergeCell ref="Q219:Q220"/>
    <mergeCell ref="A221:A222"/>
    <mergeCell ref="B221:B222"/>
    <mergeCell ref="C221:C222"/>
    <mergeCell ref="D221:E222"/>
    <mergeCell ref="F221:F222"/>
    <mergeCell ref="G221:G222"/>
    <mergeCell ref="J221:J222"/>
    <mergeCell ref="L221:L222"/>
    <mergeCell ref="H221:H222"/>
    <mergeCell ref="D212:E212"/>
    <mergeCell ref="G219:G220"/>
    <mergeCell ref="H219:H220"/>
    <mergeCell ref="I219:I220"/>
    <mergeCell ref="J219:J220"/>
    <mergeCell ref="L219:L220"/>
    <mergeCell ref="H214:H217"/>
    <mergeCell ref="I214:I217"/>
    <mergeCell ref="J214:J217"/>
    <mergeCell ref="A219:A220"/>
    <mergeCell ref="B219:B220"/>
    <mergeCell ref="C219:C220"/>
    <mergeCell ref="D219:E220"/>
    <mergeCell ref="F219:F220"/>
    <mergeCell ref="D214:E215"/>
    <mergeCell ref="F214:F215"/>
    <mergeCell ref="L210:L211"/>
    <mergeCell ref="M210:M211"/>
    <mergeCell ref="N210:N211"/>
    <mergeCell ref="O210:O211"/>
    <mergeCell ref="P210:P211"/>
    <mergeCell ref="Q210:Q211"/>
    <mergeCell ref="Q208:Q209"/>
    <mergeCell ref="A210:A211"/>
    <mergeCell ref="B210:B211"/>
    <mergeCell ref="C210:C211"/>
    <mergeCell ref="D210:E210"/>
    <mergeCell ref="G210:G211"/>
    <mergeCell ref="H210:H211"/>
    <mergeCell ref="I210:I211"/>
    <mergeCell ref="J210:J211"/>
    <mergeCell ref="K210:K211"/>
    <mergeCell ref="B204:B207"/>
    <mergeCell ref="C204:C207"/>
    <mergeCell ref="D204:E207"/>
    <mergeCell ref="F204:F207"/>
    <mergeCell ref="D201:E201"/>
    <mergeCell ref="D203:E203"/>
    <mergeCell ref="A189:A190"/>
    <mergeCell ref="D198:E198"/>
    <mergeCell ref="H200:H201"/>
    <mergeCell ref="I200:I201"/>
    <mergeCell ref="B189:B190"/>
    <mergeCell ref="C189:C190"/>
    <mergeCell ref="D200:E200"/>
    <mergeCell ref="D195:E195"/>
    <mergeCell ref="D199:E199"/>
    <mergeCell ref="D189:E189"/>
    <mergeCell ref="A208:A209"/>
    <mergeCell ref="B208:B209"/>
    <mergeCell ref="C208:C209"/>
    <mergeCell ref="D208:E209"/>
    <mergeCell ref="A200:A201"/>
    <mergeCell ref="M200:M201"/>
    <mergeCell ref="L200:L201"/>
    <mergeCell ref="B200:B201"/>
    <mergeCell ref="C200:C201"/>
    <mergeCell ref="Q204:Q207"/>
    <mergeCell ref="N200:N201"/>
    <mergeCell ref="O200:O201"/>
    <mergeCell ref="P200:P201"/>
    <mergeCell ref="Q200:Q201"/>
    <mergeCell ref="I204:I207"/>
    <mergeCell ref="J204:J207"/>
    <mergeCell ref="A191:A193"/>
    <mergeCell ref="B191:B193"/>
    <mergeCell ref="C191:C193"/>
    <mergeCell ref="D191:E193"/>
    <mergeCell ref="F191:F193"/>
    <mergeCell ref="D194:E194"/>
    <mergeCell ref="Q179:Q180"/>
    <mergeCell ref="M179:M180"/>
    <mergeCell ref="P179:P180"/>
    <mergeCell ref="G200:G201"/>
    <mergeCell ref="Q189:Q190"/>
    <mergeCell ref="Q191:Q193"/>
    <mergeCell ref="K200:K201"/>
    <mergeCell ref="J200:J201"/>
    <mergeCell ref="J189:J190"/>
    <mergeCell ref="J179:J180"/>
    <mergeCell ref="H148:H150"/>
    <mergeCell ref="Q170:Q173"/>
    <mergeCell ref="Q176:Q178"/>
    <mergeCell ref="D180:E180"/>
    <mergeCell ref="H179:H180"/>
    <mergeCell ref="I179:I180"/>
    <mergeCell ref="D179:E179"/>
    <mergeCell ref="G179:G180"/>
    <mergeCell ref="I170:I173"/>
    <mergeCell ref="J170:J173"/>
    <mergeCell ref="H146:H147"/>
    <mergeCell ref="A170:A173"/>
    <mergeCell ref="A176:A178"/>
    <mergeCell ref="J148:J150"/>
    <mergeCell ref="D157:E157"/>
    <mergeCell ref="F176:F178"/>
    <mergeCell ref="B176:B178"/>
    <mergeCell ref="F148:F150"/>
    <mergeCell ref="D176:E178"/>
    <mergeCell ref="G166:G169"/>
    <mergeCell ref="C148:C150"/>
    <mergeCell ref="Q144:Q145"/>
    <mergeCell ref="D145:E145"/>
    <mergeCell ref="J144:J145"/>
    <mergeCell ref="K144:K145"/>
    <mergeCell ref="G146:G147"/>
    <mergeCell ref="I146:I147"/>
    <mergeCell ref="J146:J147"/>
    <mergeCell ref="I144:I145"/>
    <mergeCell ref="Q146:Q147"/>
    <mergeCell ref="J141:J143"/>
    <mergeCell ref="N144:N145"/>
    <mergeCell ref="Q148:Q150"/>
    <mergeCell ref="I148:I150"/>
    <mergeCell ref="B146:B147"/>
    <mergeCell ref="C146:C147"/>
    <mergeCell ref="D146:E147"/>
    <mergeCell ref="F146:F147"/>
    <mergeCell ref="G148:G150"/>
    <mergeCell ref="B148:B150"/>
    <mergeCell ref="B144:B145"/>
    <mergeCell ref="C144:C145"/>
    <mergeCell ref="D144:E144"/>
    <mergeCell ref="G144:G145"/>
    <mergeCell ref="L144:L145"/>
    <mergeCell ref="H144:H145"/>
    <mergeCell ref="A141:A143"/>
    <mergeCell ref="C131:C132"/>
    <mergeCell ref="A131:A132"/>
    <mergeCell ref="Q141:Q143"/>
    <mergeCell ref="D142:E142"/>
    <mergeCell ref="D143:E143"/>
    <mergeCell ref="H141:H143"/>
    <mergeCell ref="I141:I143"/>
    <mergeCell ref="L141:L143"/>
    <mergeCell ref="M141:M143"/>
    <mergeCell ref="B133:B135"/>
    <mergeCell ref="D131:E131"/>
    <mergeCell ref="G138:G140"/>
    <mergeCell ref="D137:E137"/>
    <mergeCell ref="D138:E140"/>
    <mergeCell ref="F138:F140"/>
    <mergeCell ref="O111:O112"/>
    <mergeCell ref="D111:E111"/>
    <mergeCell ref="G111:G112"/>
    <mergeCell ref="K111:K112"/>
    <mergeCell ref="L111:L112"/>
    <mergeCell ref="M127:M128"/>
    <mergeCell ref="J127:J128"/>
    <mergeCell ref="I111:I112"/>
    <mergeCell ref="H113:H114"/>
    <mergeCell ref="O127:O128"/>
    <mergeCell ref="G141:G143"/>
    <mergeCell ref="K131:K132"/>
    <mergeCell ref="G131:G132"/>
    <mergeCell ref="G133:G135"/>
    <mergeCell ref="G127:G128"/>
    <mergeCell ref="H127:H128"/>
    <mergeCell ref="I131:I132"/>
    <mergeCell ref="I133:I135"/>
    <mergeCell ref="K127:K128"/>
    <mergeCell ref="K141:K143"/>
    <mergeCell ref="D181:E181"/>
    <mergeCell ref="G191:G193"/>
    <mergeCell ref="G170:G173"/>
    <mergeCell ref="I191:I193"/>
    <mergeCell ref="J208:J209"/>
    <mergeCell ref="H187:H188"/>
    <mergeCell ref="J191:J193"/>
    <mergeCell ref="H191:H193"/>
    <mergeCell ref="J176:J178"/>
    <mergeCell ref="D185:E185"/>
    <mergeCell ref="H208:H209"/>
    <mergeCell ref="I208:I209"/>
    <mergeCell ref="H204:H207"/>
    <mergeCell ref="D196:E196"/>
    <mergeCell ref="D197:E197"/>
    <mergeCell ref="D132:E132"/>
    <mergeCell ref="H111:H112"/>
    <mergeCell ref="H131:H132"/>
    <mergeCell ref="D134:E134"/>
    <mergeCell ref="D127:E127"/>
    <mergeCell ref="D122:E122"/>
    <mergeCell ref="G115:G120"/>
    <mergeCell ref="H115:H120"/>
    <mergeCell ref="Q39:Q41"/>
    <mergeCell ref="D41:E41"/>
    <mergeCell ref="Q42:Q44"/>
    <mergeCell ref="D52:E55"/>
    <mergeCell ref="G39:G41"/>
    <mergeCell ref="H39:H41"/>
    <mergeCell ref="I48:I51"/>
    <mergeCell ref="J48:J51"/>
    <mergeCell ref="F42:F44"/>
    <mergeCell ref="Q48:Q51"/>
    <mergeCell ref="J29:J32"/>
    <mergeCell ref="Q29:Q32"/>
    <mergeCell ref="K54:K55"/>
    <mergeCell ref="L54:L55"/>
    <mergeCell ref="M54:M55"/>
    <mergeCell ref="I39:I41"/>
    <mergeCell ref="Q37:Q38"/>
    <mergeCell ref="I42:I44"/>
    <mergeCell ref="L52:L53"/>
    <mergeCell ref="J42:J44"/>
    <mergeCell ref="A39:A41"/>
    <mergeCell ref="B39:B41"/>
    <mergeCell ref="C39:C41"/>
    <mergeCell ref="D39:E40"/>
    <mergeCell ref="F39:F40"/>
    <mergeCell ref="A42:A44"/>
    <mergeCell ref="B42:B44"/>
    <mergeCell ref="C42:C44"/>
    <mergeCell ref="D42:E44"/>
    <mergeCell ref="I29:I32"/>
    <mergeCell ref="H26:H28"/>
    <mergeCell ref="J26:J28"/>
    <mergeCell ref="I52:I55"/>
    <mergeCell ref="J52:J55"/>
    <mergeCell ref="G52:G54"/>
    <mergeCell ref="G42:G44"/>
    <mergeCell ref="I37:I38"/>
    <mergeCell ref="J37:J38"/>
    <mergeCell ref="J39:J41"/>
    <mergeCell ref="A29:A32"/>
    <mergeCell ref="B29:B32"/>
    <mergeCell ref="C29:C32"/>
    <mergeCell ref="D29:E32"/>
    <mergeCell ref="F29:F32"/>
    <mergeCell ref="G29:G32"/>
    <mergeCell ref="Q17:Q20"/>
    <mergeCell ref="A26:A28"/>
    <mergeCell ref="B26:B28"/>
    <mergeCell ref="C26:C28"/>
    <mergeCell ref="D26:E28"/>
    <mergeCell ref="F26:F28"/>
    <mergeCell ref="G26:G28"/>
    <mergeCell ref="I26:I28"/>
    <mergeCell ref="Q26:Q28"/>
    <mergeCell ref="H21:H24"/>
    <mergeCell ref="Q45:Q47"/>
    <mergeCell ref="A17:A20"/>
    <mergeCell ref="B17:B20"/>
    <mergeCell ref="C17:C20"/>
    <mergeCell ref="D17:E20"/>
    <mergeCell ref="F17:F20"/>
    <mergeCell ref="G17:G20"/>
    <mergeCell ref="H17:H20"/>
    <mergeCell ref="I17:I20"/>
    <mergeCell ref="J17:J20"/>
    <mergeCell ref="Q13:Q16"/>
    <mergeCell ref="A45:A47"/>
    <mergeCell ref="B45:B47"/>
    <mergeCell ref="C45:C47"/>
    <mergeCell ref="D45:E47"/>
    <mergeCell ref="F45:F47"/>
    <mergeCell ref="H45:H47"/>
    <mergeCell ref="I45:I47"/>
    <mergeCell ref="J45:J47"/>
    <mergeCell ref="B13:B16"/>
    <mergeCell ref="C13:C16"/>
    <mergeCell ref="D13:E16"/>
    <mergeCell ref="F13:F16"/>
    <mergeCell ref="G13:G16"/>
    <mergeCell ref="H13:H16"/>
    <mergeCell ref="I7:L7"/>
    <mergeCell ref="M7:P7"/>
    <mergeCell ref="Q7:Q9"/>
    <mergeCell ref="A7:A9"/>
    <mergeCell ref="B7:B9"/>
    <mergeCell ref="C7:C9"/>
    <mergeCell ref="D7:E9"/>
    <mergeCell ref="F7:F9"/>
    <mergeCell ref="G7:H7"/>
    <mergeCell ref="G8:G9"/>
    <mergeCell ref="O1:Q1"/>
    <mergeCell ref="E3:L3"/>
    <mergeCell ref="O3:Q3"/>
    <mergeCell ref="O4:Q4"/>
    <mergeCell ref="O5:Q5"/>
    <mergeCell ref="J8:J9"/>
    <mergeCell ref="K8:K9"/>
    <mergeCell ref="L8:L9"/>
    <mergeCell ref="M8:N8"/>
    <mergeCell ref="O8:O9"/>
    <mergeCell ref="P8:P9"/>
    <mergeCell ref="I8:I9"/>
    <mergeCell ref="H8:H9"/>
    <mergeCell ref="D10:E10"/>
    <mergeCell ref="P54:P55"/>
    <mergeCell ref="I13:I16"/>
    <mergeCell ref="J13:J16"/>
    <mergeCell ref="H29:H32"/>
    <mergeCell ref="N54:N55"/>
    <mergeCell ref="F52:F54"/>
    <mergeCell ref="Q108:Q109"/>
    <mergeCell ref="A13:A16"/>
    <mergeCell ref="P141:P143"/>
    <mergeCell ref="O144:O145"/>
    <mergeCell ref="P144:P145"/>
    <mergeCell ref="A99:A101"/>
    <mergeCell ref="B99:B101"/>
    <mergeCell ref="C99:C101"/>
    <mergeCell ref="D99:E101"/>
    <mergeCell ref="F99:F101"/>
    <mergeCell ref="B59:B60"/>
    <mergeCell ref="P111:P112"/>
    <mergeCell ref="Q111:Q112"/>
    <mergeCell ref="J104:J107"/>
    <mergeCell ref="K108:K109"/>
    <mergeCell ref="L108:L109"/>
    <mergeCell ref="P108:P109"/>
    <mergeCell ref="Q104:Q107"/>
    <mergeCell ref="M111:M112"/>
    <mergeCell ref="O108:O109"/>
    <mergeCell ref="B92:B93"/>
    <mergeCell ref="C92:C93"/>
    <mergeCell ref="K92:K93"/>
    <mergeCell ref="I104:I107"/>
    <mergeCell ref="H99:H101"/>
    <mergeCell ref="B108:B109"/>
    <mergeCell ref="J99:J101"/>
    <mergeCell ref="G92:G93"/>
    <mergeCell ref="D98:E98"/>
    <mergeCell ref="D93:E93"/>
    <mergeCell ref="M108:M109"/>
    <mergeCell ref="J108:J109"/>
    <mergeCell ref="I108:I109"/>
    <mergeCell ref="M92:M93"/>
    <mergeCell ref="M88:M89"/>
    <mergeCell ref="L95:L96"/>
    <mergeCell ref="K95:K96"/>
    <mergeCell ref="O54:O55"/>
    <mergeCell ref="Q52:Q55"/>
    <mergeCell ref="H52:H55"/>
    <mergeCell ref="Q77:Q79"/>
    <mergeCell ref="Q68:Q71"/>
    <mergeCell ref="H65:H67"/>
    <mergeCell ref="J77:J79"/>
    <mergeCell ref="I65:I67"/>
    <mergeCell ref="J68:J71"/>
    <mergeCell ref="I77:I79"/>
    <mergeCell ref="P88:P89"/>
    <mergeCell ref="Q88:Q89"/>
    <mergeCell ref="N92:N93"/>
    <mergeCell ref="L88:L89"/>
    <mergeCell ref="L92:L93"/>
    <mergeCell ref="I99:I101"/>
    <mergeCell ref="Q95:Q96"/>
    <mergeCell ref="I92:I93"/>
    <mergeCell ref="M285:M286"/>
    <mergeCell ref="L271:L272"/>
    <mergeCell ref="I274:I277"/>
    <mergeCell ref="D213:E213"/>
    <mergeCell ref="D174:E174"/>
    <mergeCell ref="F208:F209"/>
    <mergeCell ref="G204:G207"/>
    <mergeCell ref="G208:G209"/>
    <mergeCell ref="G176:G178"/>
    <mergeCell ref="D202:E202"/>
    <mergeCell ref="D283:E284"/>
    <mergeCell ref="B285:B286"/>
    <mergeCell ref="C285:C286"/>
    <mergeCell ref="F271:F272"/>
    <mergeCell ref="J271:J272"/>
    <mergeCell ref="D74:E74"/>
    <mergeCell ref="H138:H140"/>
    <mergeCell ref="H104:H107"/>
    <mergeCell ref="D85:E85"/>
    <mergeCell ref="D90:E90"/>
    <mergeCell ref="Q285:Q286"/>
    <mergeCell ref="D286:E286"/>
    <mergeCell ref="H285:H286"/>
    <mergeCell ref="I285:I286"/>
    <mergeCell ref="J285:J286"/>
    <mergeCell ref="K285:K286"/>
    <mergeCell ref="D285:E285"/>
    <mergeCell ref="O285:O286"/>
    <mergeCell ref="N285:N286"/>
    <mergeCell ref="L285:L286"/>
    <mergeCell ref="A285:A286"/>
    <mergeCell ref="A271:A272"/>
    <mergeCell ref="D92:E92"/>
    <mergeCell ref="D183:E183"/>
    <mergeCell ref="A214:A217"/>
    <mergeCell ref="B214:B217"/>
    <mergeCell ref="C214:C217"/>
    <mergeCell ref="B271:B272"/>
    <mergeCell ref="C271:C272"/>
    <mergeCell ref="C283:C284"/>
    <mergeCell ref="Q271:Q272"/>
    <mergeCell ref="G271:G272"/>
    <mergeCell ref="H271:H272"/>
    <mergeCell ref="I271:I272"/>
    <mergeCell ref="Q281:Q282"/>
    <mergeCell ref="F37:F38"/>
    <mergeCell ref="F104:F107"/>
    <mergeCell ref="Q113:Q114"/>
    <mergeCell ref="Q99:Q101"/>
    <mergeCell ref="Q92:Q93"/>
    <mergeCell ref="A37:A38"/>
    <mergeCell ref="B37:B38"/>
    <mergeCell ref="C37:C38"/>
    <mergeCell ref="D37:E38"/>
    <mergeCell ref="D91:E91"/>
    <mergeCell ref="A88:A89"/>
    <mergeCell ref="D72:E72"/>
    <mergeCell ref="B52:B55"/>
    <mergeCell ref="C52:C55"/>
    <mergeCell ref="A59:A60"/>
    <mergeCell ref="A111:A112"/>
    <mergeCell ref="A108:A109"/>
    <mergeCell ref="B111:B112"/>
    <mergeCell ref="C104:C107"/>
    <mergeCell ref="A104:A107"/>
    <mergeCell ref="B104:B107"/>
    <mergeCell ref="A113:A114"/>
    <mergeCell ref="B113:B114"/>
    <mergeCell ref="C113:C114"/>
    <mergeCell ref="D129:E129"/>
    <mergeCell ref="D186:E186"/>
    <mergeCell ref="B170:B173"/>
    <mergeCell ref="A179:A180"/>
    <mergeCell ref="B179:B180"/>
    <mergeCell ref="A125:A126"/>
    <mergeCell ref="B125:B126"/>
    <mergeCell ref="D110:E110"/>
    <mergeCell ref="D104:E107"/>
    <mergeCell ref="G125:G126"/>
    <mergeCell ref="C123:C124"/>
    <mergeCell ref="D211:E211"/>
    <mergeCell ref="C125:C126"/>
    <mergeCell ref="D125:E125"/>
    <mergeCell ref="C179:C180"/>
    <mergeCell ref="D153:E153"/>
    <mergeCell ref="D175:E175"/>
    <mergeCell ref="C176:C178"/>
    <mergeCell ref="D133:E133"/>
    <mergeCell ref="D128:E128"/>
    <mergeCell ref="D135:E135"/>
    <mergeCell ref="F113:F114"/>
    <mergeCell ref="G113:G114"/>
    <mergeCell ref="D141:E141"/>
    <mergeCell ref="C170:C173"/>
    <mergeCell ref="C141:C143"/>
    <mergeCell ref="D113:E114"/>
    <mergeCell ref="F170:F173"/>
    <mergeCell ref="D148:E150"/>
    <mergeCell ref="D287:E287"/>
    <mergeCell ref="G108:G109"/>
    <mergeCell ref="D271:E272"/>
    <mergeCell ref="D121:E121"/>
    <mergeCell ref="G214:G217"/>
    <mergeCell ref="D123:E123"/>
    <mergeCell ref="G123:G124"/>
    <mergeCell ref="D154:E154"/>
    <mergeCell ref="Q214:Q217"/>
    <mergeCell ref="D216:E217"/>
    <mergeCell ref="F216:F217"/>
    <mergeCell ref="H123:H124"/>
    <mergeCell ref="I123:I124"/>
    <mergeCell ref="J123:J124"/>
    <mergeCell ref="K123:K124"/>
    <mergeCell ref="D124:E124"/>
    <mergeCell ref="L123:L124"/>
    <mergeCell ref="M123:M124"/>
    <mergeCell ref="Q123:Q124"/>
    <mergeCell ref="L125:L126"/>
    <mergeCell ref="M125:M126"/>
    <mergeCell ref="N125:N126"/>
    <mergeCell ref="Q125:Q126"/>
    <mergeCell ref="O125:O126"/>
    <mergeCell ref="P125:P126"/>
    <mergeCell ref="A187:A188"/>
    <mergeCell ref="B187:B188"/>
    <mergeCell ref="C187:C188"/>
    <mergeCell ref="D187:E187"/>
    <mergeCell ref="G187:G188"/>
    <mergeCell ref="N123:N124"/>
    <mergeCell ref="A123:A124"/>
    <mergeCell ref="B123:B124"/>
    <mergeCell ref="A127:A128"/>
    <mergeCell ref="A148:A150"/>
    <mergeCell ref="Q187:Q188"/>
    <mergeCell ref="D188:E188"/>
    <mergeCell ref="I187:I188"/>
    <mergeCell ref="J187:J188"/>
    <mergeCell ref="K187:K188"/>
    <mergeCell ref="L187:L188"/>
    <mergeCell ref="M187:M188"/>
    <mergeCell ref="O187:O188"/>
    <mergeCell ref="N187:N188"/>
    <mergeCell ref="O141:O143"/>
    <mergeCell ref="I125:I126"/>
    <mergeCell ref="J125:J126"/>
    <mergeCell ref="P187:P188"/>
    <mergeCell ref="M144:M145"/>
    <mergeCell ref="N179:N180"/>
    <mergeCell ref="O179:O180"/>
    <mergeCell ref="K125:K126"/>
    <mergeCell ref="I138:I140"/>
    <mergeCell ref="N141:N143"/>
    <mergeCell ref="A95:A96"/>
    <mergeCell ref="B95:B96"/>
    <mergeCell ref="C95:C96"/>
    <mergeCell ref="D95:E95"/>
    <mergeCell ref="G95:G96"/>
    <mergeCell ref="H95:H96"/>
    <mergeCell ref="D96:E96"/>
    <mergeCell ref="H92:H93"/>
    <mergeCell ref="J92:J93"/>
    <mergeCell ref="O88:O89"/>
    <mergeCell ref="D88:E88"/>
    <mergeCell ref="J88:J89"/>
    <mergeCell ref="K88:K89"/>
    <mergeCell ref="I88:I89"/>
    <mergeCell ref="H88:H89"/>
    <mergeCell ref="D163:E163"/>
    <mergeCell ref="D164:E164"/>
    <mergeCell ref="D165:E165"/>
    <mergeCell ref="D182:E182"/>
    <mergeCell ref="J115:J120"/>
    <mergeCell ref="Q115:Q120"/>
    <mergeCell ref="H125:H126"/>
    <mergeCell ref="D126:E126"/>
    <mergeCell ref="O123:O124"/>
    <mergeCell ref="P123:P124"/>
    <mergeCell ref="A115:A120"/>
    <mergeCell ref="B115:B120"/>
    <mergeCell ref="C115:C120"/>
    <mergeCell ref="B131:B132"/>
    <mergeCell ref="B141:B143"/>
    <mergeCell ref="A129:A130"/>
    <mergeCell ref="B129:B130"/>
    <mergeCell ref="C129:C130"/>
    <mergeCell ref="A133:A135"/>
    <mergeCell ref="C133:C135"/>
    <mergeCell ref="D161:E161"/>
    <mergeCell ref="D162:E162"/>
    <mergeCell ref="D115:E120"/>
    <mergeCell ref="F115:F120"/>
    <mergeCell ref="D160:E160"/>
    <mergeCell ref="D155:E155"/>
    <mergeCell ref="D158:E158"/>
    <mergeCell ref="D159:E159"/>
    <mergeCell ref="D151:E151"/>
    <mergeCell ref="D152:E152"/>
  </mergeCells>
  <printOptions/>
  <pageMargins left="0.3937007874015748" right="0.15748031496062992" top="0.35433070866141736" bottom="0.2755905511811024" header="0.1968503937007874" footer="0"/>
  <pageSetup fitToHeight="0" fitToWidth="1" horizontalDpi="600" verticalDpi="600" orientation="landscape" paperSize="9" scale="4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</dc:creator>
  <cp:keywords/>
  <dc:description/>
  <cp:lastModifiedBy>Алибек Асет Алибекович</cp:lastModifiedBy>
  <cp:lastPrinted>2021-11-12T11:09:36Z</cp:lastPrinted>
  <dcterms:created xsi:type="dcterms:W3CDTF">2009-12-11T10:16:27Z</dcterms:created>
  <dcterms:modified xsi:type="dcterms:W3CDTF">2021-12-29T04:35:14Z</dcterms:modified>
  <cp:category/>
  <cp:version/>
  <cp:contentType/>
  <cp:contentStatus/>
</cp:coreProperties>
</file>