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341" windowWidth="8160" windowHeight="9690" tabRatio="801" activeTab="0"/>
  </bookViews>
  <sheets>
    <sheet name="Реестр " sheetId="1" r:id="rId1"/>
  </sheets>
  <definedNames>
    <definedName name="_xlnm.Print_Titles" localSheetId="0">'Реестр '!$6:$9</definedName>
    <definedName name="_xlnm.Print_Area" localSheetId="0">'Реестр '!$A$1:$Q$282</definedName>
    <definedName name="С308" localSheetId="0">'Реестр '!#REF!</definedName>
    <definedName name="С308">#REF!</definedName>
  </definedNames>
  <calcPr fullCalcOnLoad="1"/>
</workbook>
</file>

<file path=xl/sharedStrings.xml><?xml version="1.0" encoding="utf-8"?>
<sst xmlns="http://schemas.openxmlformats.org/spreadsheetml/2006/main" count="1380" uniqueCount="601">
  <si>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</si>
  <si>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РО-Б-0006</t>
  </si>
  <si>
    <t>РО-Б-0013</t>
  </si>
  <si>
    <t>РО-Б-0021</t>
  </si>
  <si>
    <t>РО-Б-0022</t>
  </si>
  <si>
    <t>РО-А-0007</t>
  </si>
  <si>
    <t>РО-Б-0061</t>
  </si>
  <si>
    <t>Распоряжение Главы администрации города Байконур от 07.02.2008г. № 01-31р "О создании Управления договорной работы и городского заказа"</t>
  </si>
  <si>
    <t>11.02.2008 г.</t>
  </si>
  <si>
    <t>не ограничен</t>
  </si>
  <si>
    <t>Распоряжение Главы администрации города Байконур от 06.07.2010г. № 01-157р "О реорганизации ГУП  "Инженерные работы"</t>
  </si>
  <si>
    <t>06.07.2010г</t>
  </si>
  <si>
    <t>РО-Б-0023</t>
  </si>
  <si>
    <t>1001</t>
  </si>
  <si>
    <t>Постановление Главы администрации от 08.04.2014 г. №76 "Об установлении нормативов для формирования стипендиального фонда за счет средств бюджета города Байконур"</t>
  </si>
  <si>
    <t>02.10.2012 г.</t>
  </si>
  <si>
    <t>РО-Б-0014</t>
  </si>
  <si>
    <t>РО-Б-0015</t>
  </si>
  <si>
    <t>РО-Б-0018</t>
  </si>
  <si>
    <t>РО-Б-0024</t>
  </si>
  <si>
    <t>РО-Б-0031</t>
  </si>
  <si>
    <t>РО-Б-0052</t>
  </si>
  <si>
    <t>РО-Б-0063</t>
  </si>
  <si>
    <t>РО-Б-0066</t>
  </si>
  <si>
    <t>Постановление Главы администрации от 17.10.2012 г. № 185 "Об установлении регионального стандарта нормативной площади жилого помещения и социальные нормы потребления электрической энергии, применяемых для расчета субсидий, компенсаций на оплату жилого помещения и коммунальных услуг".</t>
  </si>
  <si>
    <t>РО-Б-0074</t>
  </si>
  <si>
    <t>01.01.2011 г.</t>
  </si>
  <si>
    <t>Выплаты по предоставлению отдельных мер социальной поддержки граждан, подвергшихся воздействию радиации</t>
  </si>
  <si>
    <t>Стипендия учащимся государственных образовательных учреждений среднего профессионального образования</t>
  </si>
  <si>
    <t>РО-Б-0026</t>
  </si>
  <si>
    <t>Возмещение расходов на содержание незаселённых жилых помещений жилищного фонда города Байконур и оплату коммунальных услуг</t>
  </si>
  <si>
    <t>РО-Б-0019</t>
  </si>
  <si>
    <t>РО-Б-0032</t>
  </si>
  <si>
    <t>РО-Б-0033</t>
  </si>
  <si>
    <t>РО-Б-0034</t>
  </si>
  <si>
    <t>РО-Б-0036</t>
  </si>
  <si>
    <t>РО-Б-0037</t>
  </si>
  <si>
    <t>РО-Б-0039</t>
  </si>
  <si>
    <t>РО-Б-0041</t>
  </si>
  <si>
    <t>РО-Б-0062</t>
  </si>
  <si>
    <t>РО-Б-0064</t>
  </si>
  <si>
    <t>РО-Б-0065</t>
  </si>
  <si>
    <t>РО-Б-0067</t>
  </si>
  <si>
    <t>РО-Б-0068</t>
  </si>
  <si>
    <t>РО-Б-0069</t>
  </si>
  <si>
    <t>РО-Б-0070</t>
  </si>
  <si>
    <t>РО-Б-0071</t>
  </si>
  <si>
    <t>РО-Б-0072</t>
  </si>
  <si>
    <t>РО-Б-0076</t>
  </si>
  <si>
    <t>РО-Б-0077</t>
  </si>
  <si>
    <t>РО-Б-0078</t>
  </si>
  <si>
    <t>РО-Б-0079</t>
  </si>
  <si>
    <t>РО-Б-0080</t>
  </si>
  <si>
    <t>РО-Б-0011</t>
  </si>
  <si>
    <t>Постановление Главы администрации от 06.02.2013 г. № 14 "Об утверждении Порядка назначения и выплаты социальных пособий отдельным категориям семей и детям, проживающим в городе Байконур, и Порядка предоставления компенсации стоимости проезда к месту лечения, консультации, санаторно-курортного лечения, госпитализации и обратно детям, не имеющим статуса ребенка инвалида, и лицам, их сопровождающим"</t>
  </si>
  <si>
    <t>РО-Б-0027</t>
  </si>
  <si>
    <t xml:space="preserve">Постановление Главы администрации города Байконур от 15.01.2014 г. № 05  "Об утверждении городской целевой программы "Благоустройство придомовых территорий города Байконур" (с изменениями) </t>
  </si>
  <si>
    <t>Развитие и поддержка инфраструктуры города Байконур  - капитальный ремонт объектов коммунального хозяйства</t>
  </si>
  <si>
    <t>Распоряжение Главы администрации города Байконур от 23.12.2010 г. № 01-356р "Об отдельных мерах по совершенствованию правового положения государственных учреждений,находящихся в ведении администрации города Байконур, в переходный период"</t>
  </si>
  <si>
    <t xml:space="preserve">Компенсация по оплате АТС </t>
  </si>
  <si>
    <t xml:space="preserve">Государственная социальная помощь 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</si>
  <si>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</si>
  <si>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 их сопровождающим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</si>
  <si>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</si>
  <si>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обеспечение выполнения функций органов исполнительной власти города Байконур - Управление социальной защиты населения</t>
  </si>
  <si>
    <t>1105</t>
  </si>
  <si>
    <t>1202</t>
  </si>
  <si>
    <t>500</t>
  </si>
  <si>
    <t>Высшее должностное лицо города Байконур - Глава администрации города Байконур</t>
  </si>
  <si>
    <t>Расходы на обеспечение выполнения функций органов исполнительной власти города Байконур - Аппарат Главы администрации г.Байконур</t>
  </si>
  <si>
    <t>Расходы на обеспечение выполнения функций органов исполнительной власти города Байконур - Управление финансов администрации города Байконур</t>
  </si>
  <si>
    <t>Расходы на обеспечение выполнения функций органов исполнительной власти города Байконур - Управление финансового контроля города Байконур</t>
  </si>
  <si>
    <t>Обеспечение деятельности архивных учреждений - ГКУ "Архив города Байконур"</t>
  </si>
  <si>
    <t>РО-А-0005</t>
  </si>
  <si>
    <t>Мероприятия  в области молодёжной политики</t>
  </si>
  <si>
    <t>Расходы на обеспечение выполнения функций органов исполнительной власти города Байконур - Управление образованием города Байконур</t>
  </si>
  <si>
    <t>Лекарственное обеспечение граждан, имеющих право при амбулаторном лечении на получение лекарственных средств</t>
  </si>
  <si>
    <t>РО-А-0008</t>
  </si>
  <si>
    <t>Социальные выплаты безработным гражданам</t>
  </si>
  <si>
    <t>РО-А-0009</t>
  </si>
  <si>
    <t>Выплата социального пособия на погребение и возмещение расходов по гарантированному перечню услуг</t>
  </si>
  <si>
    <t>Предоставление гражданам субсидий на оплату жилого помещения и коммунальных услуг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</si>
  <si>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</si>
  <si>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Компенсация по оплате жилого помещения и коммунальных услуг</t>
  </si>
  <si>
    <t>Коды бюджетной классификации</t>
  </si>
  <si>
    <t>Срок действия расходного обязательства</t>
  </si>
  <si>
    <t>Целевая статья</t>
  </si>
  <si>
    <t>Вид расходов</t>
  </si>
  <si>
    <t>КОСГУ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</si>
  <si>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</si>
  <si>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</si>
  <si>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Обеспечение мер социальной поддержки  реабилитированных лиц, и лиц, признанных пострадавшим от политических репрессий</t>
  </si>
  <si>
    <t>Обеспечение мер социальной поддержки  тружеников тыла</t>
  </si>
  <si>
    <t>Наименование расходного обязательства</t>
  </si>
  <si>
    <t>0702</t>
  </si>
  <si>
    <t>0707</t>
  </si>
  <si>
    <t xml:space="preserve">Раздел, Подраздел </t>
  </si>
  <si>
    <t>Код расходных обязательств</t>
  </si>
  <si>
    <t>Объемы средств на исполнение расходного обязательства (тыс. руб.)</t>
  </si>
  <si>
    <t>Выплаты семьям опекунов на содержание подопечных детей</t>
  </si>
  <si>
    <t>РО-Б-0073</t>
  </si>
  <si>
    <t>РО-Б-0001</t>
  </si>
  <si>
    <t>РО-Б-0002</t>
  </si>
  <si>
    <t>РО-Б-0003</t>
  </si>
  <si>
    <t>РО-Б-0004</t>
  </si>
  <si>
    <t>РО-Б-0007</t>
  </si>
  <si>
    <t>РО-Б-0008</t>
  </si>
  <si>
    <t>РО-Б-0010</t>
  </si>
  <si>
    <t>РО-Б-0012</t>
  </si>
  <si>
    <t>0409</t>
  </si>
  <si>
    <t>0412</t>
  </si>
  <si>
    <t>0501</t>
  </si>
  <si>
    <t>0502</t>
  </si>
  <si>
    <t>0503</t>
  </si>
  <si>
    <t>0701</t>
  </si>
  <si>
    <t>0801</t>
  </si>
  <si>
    <t>РО-Б-0020</t>
  </si>
  <si>
    <t>РО-Б-0051</t>
  </si>
  <si>
    <t>0401</t>
  </si>
  <si>
    <t>Код получателя бюджетных средств</t>
  </si>
  <si>
    <t>Протезирование зубов пенсионерам, получающих доход ниже прожиточного минимума и инвалидам</t>
  </si>
  <si>
    <t>Материальная помощь</t>
  </si>
  <si>
    <t>Ежегодная  денежная выплата Почетным гражданам города Байконур</t>
  </si>
  <si>
    <t>Приобретение новогодних подарков для детей-инвалидов и детей из малоимущих и многодетных семей</t>
  </si>
  <si>
    <t>Распоряжение Главы администрации от 25.07.2013 г. № 01-231-р "О новогодних подарках"</t>
  </si>
  <si>
    <t>Оплата проезда инвалидов к месту обучения в специальных профессиональных заведениях</t>
  </si>
  <si>
    <t>600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</si>
  <si>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незавершённых производством - ГКУ "Инженерные работы"</t>
  </si>
  <si>
    <t>200/300</t>
  </si>
  <si>
    <t>Развитие и поддержка инфраструктуры города Байконур - капитальный ремонт жилищного фонда города Байконур</t>
  </si>
  <si>
    <t>Городская целевая программа "Благоустройство придомовых территорий города Байконур"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</si>
  <si>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</si>
  <si>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Расходы на обеспечение выполнения функций органов исполнительной власти города Байконур - Управление по размещению заказа</t>
  </si>
  <si>
    <t>Код методики определения объёма ассигнований на исполнение расходного обязательства</t>
  </si>
  <si>
    <t>неограничен</t>
  </si>
  <si>
    <t>Код 3</t>
  </si>
  <si>
    <t>Код 1</t>
  </si>
  <si>
    <t>Код 1, Код 3</t>
  </si>
  <si>
    <t>Код 2</t>
  </si>
  <si>
    <t>Выплата гражданам РФ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 переезжающих на территорию РФ</t>
  </si>
  <si>
    <t>Код 4</t>
  </si>
  <si>
    <t>Ежемесячная денежная выплата малоимущим пенсионерам</t>
  </si>
  <si>
    <t>Код 1, Код 4</t>
  </si>
  <si>
    <t>РО-Б-0025</t>
  </si>
  <si>
    <t>РО-Б-0030</t>
  </si>
  <si>
    <t>0704</t>
  </si>
  <si>
    <t>0709</t>
  </si>
  <si>
    <t>1002</t>
  </si>
  <si>
    <t>РО-Б-0075</t>
  </si>
  <si>
    <t>1006</t>
  </si>
  <si>
    <t>0104</t>
  </si>
  <si>
    <t>0405</t>
  </si>
  <si>
    <t>0804</t>
  </si>
  <si>
    <t>0113</t>
  </si>
  <si>
    <t>0102</t>
  </si>
  <si>
    <t>0111</t>
  </si>
  <si>
    <t>Резервный фонд администрации города Байконур</t>
  </si>
  <si>
    <t>1101</t>
  </si>
  <si>
    <t>0909</t>
  </si>
  <si>
    <t>200</t>
  </si>
  <si>
    <t>1003</t>
  </si>
  <si>
    <t>РО-Б-0009</t>
  </si>
  <si>
    <t>Обеспечение деятельности учреждений, осуществляющих полномочия Российской Федерации в области содействия занятости</t>
  </si>
  <si>
    <t>100</t>
  </si>
  <si>
    <t>800</t>
  </si>
  <si>
    <t>300</t>
  </si>
  <si>
    <t>плановый</t>
  </si>
  <si>
    <t>фактический</t>
  </si>
  <si>
    <t>Оплата жилищно-коммунальных услуг отдельным категориям граждан.</t>
  </si>
  <si>
    <t>Дополнительные меры поддержки на оплату жилищно-коммунальных услуг отдельным категориям граждан</t>
  </si>
  <si>
    <t xml:space="preserve">Реквизиты нормативного правового акта, договора, соглашения </t>
  </si>
  <si>
    <t>Статья, пункт, подпункт, абзац нормативного правового акта, договора, соглашения</t>
  </si>
  <si>
    <t>п/п 6.10</t>
  </si>
  <si>
    <t>п. 1</t>
  </si>
  <si>
    <t>п. 7 РГА</t>
  </si>
  <si>
    <t>п. 2 ПГА</t>
  </si>
  <si>
    <t>п. 4</t>
  </si>
  <si>
    <t>п. 3 ПГА</t>
  </si>
  <si>
    <t>п. 3 РГА</t>
  </si>
  <si>
    <t>Жилищный кодекс Российской Федерации</t>
  </si>
  <si>
    <t>ст. 153</t>
  </si>
  <si>
    <t>Федеральный закон от 06.10.2003 г. № 131-ФЗ "Об общих принципах организации местного самоуправления в Российской Федерации" (с изменениями и дополнениями)</t>
  </si>
  <si>
    <t>п. 4 ст. 16</t>
  </si>
  <si>
    <t>абз. 2 п/п 1.1 п.1</t>
  </si>
  <si>
    <t>Федеральный закон от 06.10.2003 г. № 131-ФЗ «Об общих принципах организации местного самоуправления в Российской Федерации» (с изменениями и дополнениями)</t>
  </si>
  <si>
    <t>абз. 3 п/п 1.1 п.1</t>
  </si>
  <si>
    <t>п. 24 ст. 16</t>
  </si>
  <si>
    <t>Федеральный закон от 16.09.2003 г. № 131-ФЗ "Об общих принципах организации местного самоуправления в Российской Федерации" (с изменениями и дополнениями)</t>
  </si>
  <si>
    <t>п. 13 ст. 16</t>
  </si>
  <si>
    <t>п. 2 РГА</t>
  </si>
  <si>
    <t>п. 14 ст. 16</t>
  </si>
  <si>
    <t>ст. 7.1</t>
  </si>
  <si>
    <t>Постановление Главы администрации г.Байконур от 03.12.2009 г. № 135 «О погребении и похоронном деле в городе Байконур» (с изменениями)</t>
  </si>
  <si>
    <t>п. 8.2 приложения № 1</t>
  </si>
  <si>
    <t>Постановление Главы администрации г.Байконур от 06.02.2013 г. № 14 «Об утверждении Порядка назначения и выплаты социальных пособий отдельным категориям семей и детям, проживающим в городе Байконур, и Порядка предоставления компенсации стоимости проезда к месту лечения, консультации, санаторно-курортного лечения, госпитализации и обратно детям, не имеющим статуса ребенка-инвалида, и лицам, их сопровождающим»</t>
  </si>
  <si>
    <t>п/п 1.1, 1.2, 1.3</t>
  </si>
  <si>
    <t>п/п 1.1, 1.3</t>
  </si>
  <si>
    <t>п/п 1.1, 1.3-1.6</t>
  </si>
  <si>
    <t>п.п. 1.4, 1.6, 1.7</t>
  </si>
  <si>
    <t>п.п. 1.3, 1.4, 1.5, 1.6</t>
  </si>
  <si>
    <t xml:space="preserve">п/п 1.3 </t>
  </si>
  <si>
    <t>ст.7, 8</t>
  </si>
  <si>
    <t xml:space="preserve">Постановление Главы администрации от 15.11.2013 г. № 178 "Об утверждении Порядка оказания в городе Байконур государственной социальной помощи малоимущим семьям и малоимущим одиноко проживающим гражданам в новой редакции"
</t>
  </si>
  <si>
    <t>Приложение № 2</t>
  </si>
  <si>
    <t>п/п 1.1</t>
  </si>
  <si>
    <t>п. 1, п. 4</t>
  </si>
  <si>
    <t>п/п 1.8</t>
  </si>
  <si>
    <t>п/п 1.7</t>
  </si>
  <si>
    <t>Приложение № 1</t>
  </si>
  <si>
    <t>п. 1 ПГА</t>
  </si>
  <si>
    <t>п. 4 ПГА</t>
  </si>
  <si>
    <t>ст. 8</t>
  </si>
  <si>
    <t>п. 1, 2</t>
  </si>
  <si>
    <t>Распоряжение Главы администрации города Байконур от 23.12.2010 г. № 01-356р "Об отдельных мерах по совершенствованию правового положения государственных учреждений, находящихся в ведении администрации города Байконур, в переходный период"</t>
  </si>
  <si>
    <t>код 1</t>
  </si>
  <si>
    <t>Распоряжение Правительства Российской Федерации от 18.08.1995 г. № 1154-р</t>
  </si>
  <si>
    <t>Постановление Главы администрации от 09.10.2009 г. № 114 "Об Аппарате Главы администрации города Байконур" (с изменениями)</t>
  </si>
  <si>
    <t>9900004000</t>
  </si>
  <si>
    <t>Расходы на обеспечение выполнения функций органов исполнительной власти города Байконур</t>
  </si>
  <si>
    <t>Постановление Главы администрации от 17.03.2014 г. № 49 "Об утверждении Положения об Управлении финансового контроля города Байконур в новой редакции"</t>
  </si>
  <si>
    <t>0106</t>
  </si>
  <si>
    <t>Распоряжение Главы администрации от 03.04.2008 г. № 01-123р "о создании Управления по имущественным и земельным отношениям Российской Федерации администрации г. Байконур" (с изменениями)</t>
  </si>
  <si>
    <t>п.1, 3 ПГА</t>
  </si>
  <si>
    <t>9900007000</t>
  </si>
  <si>
    <t>Распоряжение Главы администрации от 09,12.2011 г. № 01-352р "Об изменении типа существующего Государственного бюджетного учреждения "Архив города Байконур" в целях создания Государственного казенного учреждения "Архив города Байконур"</t>
  </si>
  <si>
    <t>9900008010</t>
  </si>
  <si>
    <t>Мероприятия в области туризма</t>
  </si>
  <si>
    <t>Распоряжение Главы администрации от 06.02.2013 г. № 01-23р "Об утверждении Положения об Управлении культуры, молодежной политики, туризма и спорта в новой редакции"</t>
  </si>
  <si>
    <t>Городская целевая программа "Профилактика преступлений и правонарушений на территории города Байконур на 2016-2020 годы"</t>
  </si>
  <si>
    <t>9900011000</t>
  </si>
  <si>
    <t>Постановление Главы администрации от 23.12.2011 г. № 221 "Об утверждении Порядка определения объема и условий предоставления государственным бюджетным и автономным учреждениям, находящимся в ведении администрации города Байконур, субсидий на иные цели" (с изменениями)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</si>
  <si>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</si>
  <si>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01.01.2011.</t>
  </si>
  <si>
    <t>Распоряжение Главы администрации от 20.06.2014 г. № 01-218р "Об утверждении Положения об Управлении образованием города Байконур в новой редакции"</t>
  </si>
  <si>
    <t>Городская целевая программа "Профилактика преступлений и правонарушений на территории города Байконур на 2016 - 2020 годы"</t>
  </si>
  <si>
    <t>Распоряжение Главы администрации города Байконур от 06.12.2011 г. № 01-346р "Об изменении типа существующего Государственного учреждения "Центр занятости населения г.Байконур" в целях создания Государственного казенного учреждения "Центр занятости населения города Байконур"</t>
  </si>
  <si>
    <t>Распоряжение Главы администрации города Байконур от 26.12.2011 г. № 01-412р "О переименовании Государственного учреждения "Городская ветеринарная станция по борьбе с болезнями животных г. Байконур"</t>
  </si>
  <si>
    <t>9900008020</t>
  </si>
  <si>
    <t>99Ч0091500</t>
  </si>
  <si>
    <t>Постановление Главы администрации города Байконур от 25.09.2012 г. № 173 "Об утверждении Порядка возмещения расходов на содержание незаселённых жилых помещений жилищного фонда города Байконур и оплату коммунальных услуг" (с изменениями)</t>
  </si>
  <si>
    <t>Распоряжение Главы администрации города Байконур от 06.02.2013 г. № 01-23р "Об утверждении Положения об Управлении культуры, молодежной политики, туризма и спорта"</t>
  </si>
  <si>
    <t>Расходы на обеспечение мероприятий в области культуры призмами, грамотами, подарками и сувенирной продукцией</t>
  </si>
  <si>
    <t>РО-Б-0042</t>
  </si>
  <si>
    <t>РО-Б-0044</t>
  </si>
  <si>
    <t>РО-Б-0045</t>
  </si>
  <si>
    <t>Обеспечение расходов на выплату пенсии за выслугу лет лицам, замещавшим должности муниципальной службы в городе Байконур</t>
  </si>
  <si>
    <t>Постановление Главы администрации г. Байконур от 02.10.2012 г. № 175 "Об утверждении Положения о порядке назначения, перерасчета размера и выплаты пенсии за выслугу лет лицам, замещавшим должности муниципальной службы в городе Байконур" (с изменениями)</t>
  </si>
  <si>
    <t>РО-Б-0047</t>
  </si>
  <si>
    <t>РО-Б-0048</t>
  </si>
  <si>
    <t>Закон РФ от 19.04.1991 года № 1032-1 "О занятости населения в Российской Федерации" (с изменениями)</t>
  </si>
  <si>
    <t>Постановление Главы администрации г.Байконур от 03.08.2012 г. № 142 «О мерах социальной поддержки по оплате жилого помещения и коммунальных услуг, услуг связи, предоставляемых отдельным категориям граждан, проживающих в городе Байконур» (с изменениями)</t>
  </si>
  <si>
    <t>РО-Б-0053</t>
  </si>
  <si>
    <t>Постановление Главы администрации г.Байконур от 24.04.2009 г. № 46 «Об утверждении положений о порядке назначения и выплаты ежемесячного пособия на ребенка и о порядке учета и исчисления величины среднедушевого дохода, дающего право на получение ежемесячного пособия на ребенка гражданам, имеющим детей и проживающим на территории города Байконур» (с изменениями)</t>
  </si>
  <si>
    <t>РО-Б-0054</t>
  </si>
  <si>
    <t>РО-Б-0055</t>
  </si>
  <si>
    <t>РО-Б-0056</t>
  </si>
  <si>
    <t>РО-Б-0057</t>
  </si>
  <si>
    <t>РО-Б-0058</t>
  </si>
  <si>
    <t>РО-Б-0059</t>
  </si>
  <si>
    <t>РО-Б-0060</t>
  </si>
  <si>
    <t>Постановление Главы администрации города Байконур от 03.05.2011 г. № 80 "О внесении изменений в Положение о порядке присвоения звания "Почетный гражданин города Байконур", утвержденное постановлением Главы городской администрации от 27 мая 1998 г. № 198, и отдельные нормативные правовые акты администрации города Байконур"</t>
  </si>
  <si>
    <t>Компенсация страховых премий по договору обязательного страхования автогражданской ответственности</t>
  </si>
  <si>
    <t>Обязательное медицинское страхование неработающего населения</t>
  </si>
  <si>
    <t>Распоряжение Главы администрации города Байконур от 07.06.2012 г. № 01-146р "Об утверждении Положения об Управлении социальной защиты населения в новой редакции" (с изменениями)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</si>
  <si>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</si>
  <si>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Распоряжение Главы администрации города Байконур от 06.02.2013 г. № 01-23р "Об утверждении Положения об Управлении культуры, молодежной политики, туризма и спорта в новой редакции"</t>
  </si>
  <si>
    <t>Финансовое обеспечение выполнения государственного задания на оказание государственных услуг (выполнение работ) - Периодическая печать и издательства</t>
  </si>
  <si>
    <t>п. 3, 4 РГА</t>
  </si>
  <si>
    <t>п. 2 Положения</t>
  </si>
  <si>
    <t>Распоряжение Главы администрации города Байконур от 23.06.2015 г. № 01-176р "О разработке городской целевой программы "Профилактика преступлений и правонарушений на территории города Байконур на 2016-2020 гг. "</t>
  </si>
  <si>
    <t>п. 1 Положения</t>
  </si>
  <si>
    <t>п. 1 РГА</t>
  </si>
  <si>
    <t>п. 16, 17, 20 ст. 16</t>
  </si>
  <si>
    <t>п.п. 1.1-1.7, 4 ПГА</t>
  </si>
  <si>
    <t>п. 1,  4 ПГА</t>
  </si>
  <si>
    <t>п. 4 ПГА,                            п.3 Положения №1</t>
  </si>
  <si>
    <t>п.1 ПГА</t>
  </si>
  <si>
    <t>п.2 Положения</t>
  </si>
  <si>
    <t>п. 1 Распоряжения</t>
  </si>
  <si>
    <t>Реализация отдельных полномочий в области лекарственного обеспечения</t>
  </si>
  <si>
    <t>РО-Б-0082</t>
  </si>
  <si>
    <t>ИТОГО</t>
  </si>
  <si>
    <t>Постановление  Главы администрации города Байконур от 31.12.2015 г. № 330 "Об утверждении городской целевой программы "Профилактика преступлений и правонарушений на территории города Байконур на 2016-2020 гг. " (с изменениями)</t>
  </si>
  <si>
    <t>400</t>
  </si>
  <si>
    <t>Городская целевая программа "Развитие и поддержка малого и среднего предпринимательства в городе Байконур на 2017-2019 годы"</t>
  </si>
  <si>
    <t xml:space="preserve">Постановление Главы администрации города Байконур от 30.11.2016 г. №348  "Об утверждении городской целевой программы "Развитие и поддержка малого и среднего предпринимательства в городе Байконур на 2017-2019 годы" </t>
  </si>
  <si>
    <t>абз. 4 п/п 1.1 п.1</t>
  </si>
  <si>
    <t>Капитальный ремонт автомобильных дорог</t>
  </si>
  <si>
    <t>п. п. 3.1. ПГА</t>
  </si>
  <si>
    <t>РО-А-0001</t>
  </si>
  <si>
    <t>Осуществление переданных полномочий Российской Федерации на государственную регистрацию актов гражданского состояния</t>
  </si>
  <si>
    <t>990059300</t>
  </si>
  <si>
    <t>0703</t>
  </si>
  <si>
    <t>Осуществление переданного полномочия Российской Федерации по осуществлению ежеголной денежной выплаты лицам, награжденным нагрудным знаком "Почетный донор России"</t>
  </si>
  <si>
    <t>Выплата единовременного пособия при всех формах устройства детей, лищенных родительского попечения, в семью</t>
  </si>
  <si>
    <t>РО-А-0002</t>
  </si>
  <si>
    <t>РО-А-0003</t>
  </si>
  <si>
    <t>РО-А-0004</t>
  </si>
  <si>
    <t>РО-А-0006</t>
  </si>
  <si>
    <t>РО-Б-0081</t>
  </si>
  <si>
    <t>РО-Б-0083</t>
  </si>
  <si>
    <t>РО-Б-0084</t>
  </si>
  <si>
    <t>РО-Б-0085</t>
  </si>
  <si>
    <t>01.08.1999г.                                                                               01.01.2017 г.</t>
  </si>
  <si>
    <t>9900001000</t>
  </si>
  <si>
    <t>Постановление Главы администрации г. Байконур от 31.12.2015 г. № 335 «О плате за присмотр и уход за детьми в государственных дошкольных образовательных организациях, подведомственных Управлению образованием города Байконур"</t>
  </si>
  <si>
    <t>Постановление Правительства РФ от 15.04.2014 г. №296 "Об утверждении государственной программы Российской Федерации "Социальная поддержка граждан"</t>
  </si>
  <si>
    <t>Подпрограмма 1</t>
  </si>
  <si>
    <t>Постановление Главы администрации г. Байконур от 06.04.2006 г. № 67 «О финансировании мероприятий, связанных с отселением граждан РФ с комплекса «Байконур» на территорию РФ» (с изменениями)</t>
  </si>
  <si>
    <t>Распоряжение Главы администрации от 31.03.2011 г. № 01-92р "Об утверждении Положения об Управлении финансов администрации города Байконур" (с изменениями)</t>
  </si>
  <si>
    <t>п.1. ПГА</t>
  </si>
  <si>
    <t xml:space="preserve">Постановление Главы администрации от 30.07.1999 г. "Об утверждении Положения об Управлении жилищного строительства администрации г. Байконур, Российская Федерация, комплекс Байконур"                                                                               </t>
  </si>
  <si>
    <t>Постановление Главы администрации города Байконур от 30 декабря 2016 г. №413 "О переименовании Управления жилищного строительства администрации г. Байконур, Российская Федерация, комплекс Байконур"</t>
  </si>
  <si>
    <t>Постановление Главы администрации г. Байконур от 14.09.2012 г. № 168 "Об утверждении Порядка и условиях присвоения звания "Ветеран труда города Байконур" и установлении мер социальной поддержки "Ветеранам труда города Байконур" (с изменениями)</t>
  </si>
  <si>
    <t>Постановление Главы администрации г. Байконур от 24.12.2013 г. № 219 "О мерах социальной поддержки отдельных категорий граждан, проживающих в городе Байконур" (с изменениями)</t>
  </si>
  <si>
    <t>990004000</t>
  </si>
  <si>
    <t>Расходы на обеспечение выполнения функций органов исполнительной власти города Байконур - Управление по имущественным и земельным отношениям Российской Федерации администрации г.Байконур</t>
  </si>
  <si>
    <t>Финансовое обеспечение выполнения государственного задания на оказание государственных услуг (выполнение работ) - Сельское хозяйство и рыболовство</t>
  </si>
  <si>
    <t xml:space="preserve">Развитие и поддержка инфраструктуры города Байконур. </t>
  </si>
  <si>
    <t>812</t>
  </si>
  <si>
    <t xml:space="preserve"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</si>
  <si>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РО-Б-0088</t>
  </si>
  <si>
    <t>Возмещение затрат на содержание городского кладбища и организацию погребения безродных и неопознанных умерших</t>
  </si>
  <si>
    <t>п. 3</t>
  </si>
  <si>
    <t>Федеральный закон РФ от 29.11.2010 года № 326-ФЗ "Об обязательном медицинском страховании в Российской Федерации" (с изменениями)</t>
  </si>
  <si>
    <t>Федеральный закон РФ от 17.07.1999 года № 178 "О государственной социальной помощи" (с изменениями)</t>
  </si>
  <si>
    <t>Постановление Главы администрации от 03.04.2014 г. № 68 "О порядке оказания адресной материальной (денежной) помощи гражданам, проживающим в городе Байконур, находящимся в трудной жизненной ситуации" (с изменениями)</t>
  </si>
  <si>
    <t>Постановление Главы администрации г.Байконур от 27.04.2009 г. № 46 «Об утверждении Положений о порядке назначения и выплаты ежемесячного пособия на ребенка и о порядке учета и исчисления величины среднедушевого дохода, дающего право на получение ежемесячного пособия на ребенка гражданам, имеющим детей и проживающим на территории города Байконур» (с изменениями)</t>
  </si>
  <si>
    <t>Постановление Главы администрации от 25.06.2010 г. №80 "Об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средств" (с изменениями)</t>
  </si>
  <si>
    <t>Постановление Главы администрации города Байконур от 22.11.2016 г. № 338 "Об утверждении Порядка выплаты призов в денежной форме победителям конкурсов в области культуры, проводимых за счет бюджета города Байконур"</t>
  </si>
  <si>
    <t>Распоряжение Главы администрации от 26.07.2017 г. № 01-233р "Об утверждении Положения о порядке расходования денежных средств, выделенных Аппарату Главы администрации города Байконур по подразделу "Другие общегосударственные вопросы" раздела "Общегосударственные вопросы" классификации расходов бюджета города Байконур в новой редакции"</t>
  </si>
  <si>
    <t>Распоряжение Главы администрации города Байконур от 27.10.2017 г. № 01-355р  "Об утверждении Перечня государственных программ города Байконур"; Постановление Главы администрации города Байконур от 08.11.2017 № 358 "Об утверждении государственной программы "Содействие занятости населения города Байконур на 2018-2020 годы"</t>
  </si>
  <si>
    <t>РГА, п.2 ПГА</t>
  </si>
  <si>
    <t>Постановление Главы администрации города Байконур от 25.12.2017г. №444 "Об утверждении государственной программы "Жилищно-коммунальное хозяйство и обеспечение качественными жилищно-коммунальными услугами жителей города Байконур на 2018-2022 г.г."</t>
  </si>
  <si>
    <t>01.012018</t>
  </si>
  <si>
    <t>РО-Б-0028</t>
  </si>
  <si>
    <t>РО-Б-0029</t>
  </si>
  <si>
    <t>РО-Б-0035</t>
  </si>
  <si>
    <t>РО-Б-0040</t>
  </si>
  <si>
    <t>РО-Б-0043</t>
  </si>
  <si>
    <t>РО-Б-0086</t>
  </si>
  <si>
    <t>РО-Б-0087</t>
  </si>
  <si>
    <t>Постановление Главы администрации города Байконур от 18.12.2017 г. № 437 "Об утверждении Положения о порядке расходования средств резервного фонда администрации города Байконур и Правил выделения денежных средств из резервного фонда админстрации города Байконур на мероприятия по ликвидации чрезвычайных ситуаций и последствий стихийных бедствий на территории города Байконур"</t>
  </si>
  <si>
    <t>п. 1, 2, 4, 5, 10 ПГА</t>
  </si>
  <si>
    <t>п. 3, 9, 10 ПГА</t>
  </si>
  <si>
    <t>РО-А-0010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</si>
  <si>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</si>
  <si>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РО-Б-0089</t>
  </si>
  <si>
    <t>Расходы ликвидационной комиссии ГУП РС №2</t>
  </si>
  <si>
    <t>Распоряжение Главы администрации города Байконур от 21.05.2015 г. № 01-130р</t>
  </si>
  <si>
    <t>до момента ликвидации</t>
  </si>
  <si>
    <t>9900004020</t>
  </si>
  <si>
    <t>РО-Б-0090</t>
  </si>
  <si>
    <t>РО-Б-0091</t>
  </si>
  <si>
    <t>РО-Б-0092</t>
  </si>
  <si>
    <t>РО-А-0011</t>
  </si>
  <si>
    <t>Реализация отдельных мероприятий государственной программы Российской Федерации "Развитие здравоохранения"</t>
  </si>
  <si>
    <t>9900053820</t>
  </si>
  <si>
    <t>Укрепление материально-технической базы учреждений культуры</t>
  </si>
  <si>
    <t>4020005100</t>
  </si>
  <si>
    <t>3020111000</t>
  </si>
  <si>
    <t>3040111000</t>
  </si>
  <si>
    <t>3030111000</t>
  </si>
  <si>
    <t>3050311000</t>
  </si>
  <si>
    <t>3050312050</t>
  </si>
  <si>
    <t>30П0091200</t>
  </si>
  <si>
    <t>4010011000</t>
  </si>
  <si>
    <t>4010005310</t>
  </si>
  <si>
    <t>6010105410</t>
  </si>
  <si>
    <t>6030111000</t>
  </si>
  <si>
    <t>6010151610</t>
  </si>
  <si>
    <t>7020061000</t>
  </si>
  <si>
    <t>7040011000</t>
  </si>
  <si>
    <t>7020051370</t>
  </si>
  <si>
    <t>7020052200</t>
  </si>
  <si>
    <t>7010052700</t>
  </si>
  <si>
    <t>7010055730</t>
  </si>
  <si>
    <t>6020170100</t>
  </si>
  <si>
    <t>7010005610</t>
  </si>
  <si>
    <t>5000211000</t>
  </si>
  <si>
    <t>Расходы на обеспечение выполнения функций по общегосударственным вопросам</t>
  </si>
  <si>
    <t>Укрепление материально-технической базы учреждений образования</t>
  </si>
  <si>
    <t>Расходы на обеспечение выполнения функций органов исполнительной власти города Байконур - Управление экономического развития администрации города Байконур</t>
  </si>
  <si>
    <t>Распоряжение Главы администрации от 01.02.2018 г. № 01-38р "О наделении правами юридического лица Управления экономического развития администрации города Байконур"</t>
  </si>
  <si>
    <t>п. 1, 2 РГА</t>
  </si>
  <si>
    <t>2000580001</t>
  </si>
  <si>
    <t>2000480002</t>
  </si>
  <si>
    <t>2000680002</t>
  </si>
  <si>
    <t>20Д0091600</t>
  </si>
  <si>
    <t>2000280002</t>
  </si>
  <si>
    <t>2000380002</t>
  </si>
  <si>
    <t>3050580002</t>
  </si>
  <si>
    <t>РО-Б-0049</t>
  </si>
  <si>
    <t>Возмещение затрат по содержанию Городского парка культуры и отдыха</t>
  </si>
  <si>
    <t>п. 3, 17 ст. 16</t>
  </si>
  <si>
    <t>4010013060</t>
  </si>
  <si>
    <t>1000108040</t>
  </si>
  <si>
    <t>1000308040</t>
  </si>
  <si>
    <t>РО-Б-0046</t>
  </si>
  <si>
    <t xml:space="preserve">Обеспечение деятельности централизованных бухгалтерий по обслуживанию учреждений образования - ГКУ "Централизованная бухгалтерия по обслуживанию учреждений образования города Байконур" </t>
  </si>
  <si>
    <t>Распоряжение Главы администрации от 22.03.2013 г. № 01-83р "О переименовании Государственного казенного учреждения "Централизованная бухгалтерия по обслуживанию государственных бюджетных дошкольных образовательных учреждений" (с изменениями)</t>
  </si>
  <si>
    <t>9900008030</t>
  </si>
  <si>
    <t>РО-Б-0050</t>
  </si>
  <si>
    <t>Расходы на обеспечение выполнения функций органов исполнительной власти города Байконур - Управление культуры, молодежной политики, туризма и спорта</t>
  </si>
  <si>
    <t>3050612010</t>
  </si>
  <si>
    <t xml:space="preserve">Расходы на обеспечение выполнения функций органов исполнительной власти города Байконур - Отдел по отселению граждан </t>
  </si>
  <si>
    <t>4010012104</t>
  </si>
  <si>
    <t>Расходы на обеспечение выполнения функций органов исполнительной власти города Байконур - Отдел здравоохранения города Байконур</t>
  </si>
  <si>
    <t>Обеспечение деятельности учреждений культуры - Государственное казенное учреждение "Централизованная библиотечная система"</t>
  </si>
  <si>
    <t>Распоряжение Главы администрации города Байконур от 04.06.2018 г. № 01-207р "Об изменении типа существующего Государственного бюджетного учреждения "Централизованная библиотечная система" в целях создания Государственного казенного учреждения "Централизованная библиотечная система"</t>
  </si>
  <si>
    <t>4010008050</t>
  </si>
  <si>
    <t>Обеспечение деятельности общеобразовательных организаций</t>
  </si>
  <si>
    <t>Приказ Управления образованием города Байконур от 15 июня 2018 г.</t>
  </si>
  <si>
    <t>п. 1 Приказа</t>
  </si>
  <si>
    <t>3020108070</t>
  </si>
  <si>
    <t>Обеспечение деятельности в области молодежной политики, оздоровления и отдыха детей</t>
  </si>
  <si>
    <t>Обеспечение деятельности дошкольных образовательных организаций</t>
  </si>
  <si>
    <t>3010108060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</si>
  <si>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</si>
  <si>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0410</t>
  </si>
  <si>
    <t>отчетный 2018 год</t>
  </si>
  <si>
    <t xml:space="preserve">текущий 2019 год </t>
  </si>
  <si>
    <t xml:space="preserve">очередной 2020 год </t>
  </si>
  <si>
    <t xml:space="preserve"> Распоряжение Главы администрации города Байконур от 31.10.2018 г. № 01-432 р "Об утверждении Перечней объектов реконструкции и капитального ремонта инфраструктуры комплекса "Байконур" на 2019 год, финансируемых за счет средств бюджета города Байконур"</t>
  </si>
  <si>
    <t>Субсидия на финансовое обеспечение затрат, связанных с организацией  цифрового эфирного телерадиовещания на территории города Баконур и созданием городского телевизионного канала, в том числе на погашение основного долга и процентов по кредиту</t>
  </si>
  <si>
    <t>Постановление Главы администрации города Байконур от 13.11.2018 г. № 608 "О возмещении в 2019 году недополученных доходов в связи с оказанием населению города Байконур коммунальных услуг по тарифам, не обеспечивающим возмещение издержек"</t>
  </si>
  <si>
    <t>Постановление Главы администрации города Байконур от 28.12.2018 г. №724 "Об утверждении Перечня видов работ по содержанию и ремонту объектов внешнего благоустройства города Байконур на 2019 год, финансируемых за счет средств бюджета города Байконур, и порядке обеспечения их финансирования"</t>
  </si>
  <si>
    <t>812 (811)</t>
  </si>
  <si>
    <t>812 (885)</t>
  </si>
  <si>
    <t>Возмещение затрат по содержанию и ремонту объектов внешнего благоустройства города Байконур (дорожное хозяйство)</t>
  </si>
  <si>
    <t>РО-Б-0016</t>
  </si>
  <si>
    <t>812 (816)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</si>
  <si>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</si>
  <si>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</si>
  <si>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</si>
  <si>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</si>
  <si>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812 (865)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</si>
  <si>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</si>
  <si>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</si>
  <si>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</si>
  <si>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812 (852, 865, 882, 816)</t>
  </si>
  <si>
    <t>Социальная поддержка и реабилитация инвалидов в городе Байконур</t>
  </si>
  <si>
    <t>7060091300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</si>
  <si>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</si>
  <si>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812 (815)</t>
  </si>
  <si>
    <t>9900001100</t>
  </si>
  <si>
    <t>812 (883)</t>
  </si>
  <si>
    <t>812 (813)</t>
  </si>
  <si>
    <t>812 (886)</t>
  </si>
  <si>
    <t>Комплексные мероприятия по благоустройству города Байконур</t>
  </si>
  <si>
    <t>812 (824)</t>
  </si>
  <si>
    <t>Организация мероприятий по содействию занятости населения</t>
  </si>
  <si>
    <t>812 (852)</t>
  </si>
  <si>
    <t>812 (888-898, 901)</t>
  </si>
  <si>
    <t>Обеспечение расходов на приобретение продуктов питания и материальных запасов</t>
  </si>
  <si>
    <t>3050812150</t>
  </si>
  <si>
    <t>812 (899, 900)</t>
  </si>
  <si>
    <t>3050308080</t>
  </si>
  <si>
    <t>812 (887)</t>
  </si>
  <si>
    <t>812 (851)</t>
  </si>
  <si>
    <t>812 (879)</t>
  </si>
  <si>
    <t>812 (882)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</si>
  <si>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</si>
  <si>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Ежеквартальная денежная выплата инвалидам, обучающимся в специальных образовательных организациях</t>
  </si>
  <si>
    <t xml:space="preserve">Оплата протезно-ортопедических изделий, технических средств </t>
  </si>
  <si>
    <t>РО-Б-0005</t>
  </si>
  <si>
    <t>РО-Б-0017</t>
  </si>
  <si>
    <t>РО-Б-0038</t>
  </si>
  <si>
    <t>РО-Б-0093</t>
  </si>
  <si>
    <t>РО-Б-0094</t>
  </si>
  <si>
    <t>Постановление Главы администрации города Байконур от 03.11.2018 г. № 610 "О бюджете города Байконур"</t>
  </si>
  <si>
    <t>Проект Федерального закона "О федеральном бюджете на 2019 год и на плановый период 2020 и 2021 годов"</t>
  </si>
  <si>
    <t>01.01.2019 г.</t>
  </si>
  <si>
    <t>табл. 85, приложение 33</t>
  </si>
  <si>
    <t>Постановление Главы администрации города Байконур от 02.10.2015 г. № 218 "О порядке формирования государственного задания на оказание государственных услуг (выполнение работ) в отношении государственных учреждений, находящихся в ведении администрации города Байконур, и финансового обеспечения выполнения государственного задания" (с изменениями)</t>
  </si>
  <si>
    <t>Постановление Главы администрации от 29.12.2017 г. № 479 "Об организации и обеспечении отдыха и оздоровления детей, проживающих в городе Байконур" (с изменениями)</t>
  </si>
  <si>
    <t>Постановление Главы администрации г. Байконур от 16.04.2018 г. № 121 «Об организации обеспечения лекарственными препаратами, специализированными продуктами лечебного питания и изделиями медицинского назначения при амбулаторном лечении отдельных категорий граждан, проживающих в городе Байконур, по рецептам врачей бесплатно или с 50-процентной скидкой со свободных цен» (с изменениями)</t>
  </si>
  <si>
    <t>табл. 1, приложение 33</t>
  </si>
  <si>
    <t>Постановление Главы администрации города Байконур от 25.04.2018 г. № 136 "О переименовании Городского управления здравоохранения"</t>
  </si>
  <si>
    <t>п. 1, 5  ПГА</t>
  </si>
  <si>
    <t>табл.84, приложения 33</t>
  </si>
  <si>
    <t>табл. 13 приложения 33</t>
  </si>
  <si>
    <t>табл. 9 приложения 33</t>
  </si>
  <si>
    <t>табл. 80 приложения 33</t>
  </si>
  <si>
    <t>табл. 12 Приложения 33</t>
  </si>
  <si>
    <t>табл. 6 Приложения 33</t>
  </si>
  <si>
    <t>табл. 4 Приложения 33</t>
  </si>
  <si>
    <t>Федеральный закон от 19.05.1995 г. № 81-ФЗ «О государственных пособиях гражданам, имеющим детей» (с изменениями) _____________________________________________________                                        Проект Федерального закона "О федеральном бюджете на 2019 год и на плановый период 2020 и 2021 годы"</t>
  </si>
  <si>
    <t>ст. 12.1                                                  _______________ табл. 8 приложения 33</t>
  </si>
  <si>
    <t xml:space="preserve">Постановление Главы администрации г. Байконур от 29.10.2018 г. № 578 «Об установлении размера денежных средств, выплачиваемых на содержание детей, находящихся под опекой (попечительством), на 2019 год" </t>
  </si>
  <si>
    <t>Постановление Главы администрации города Байконур от 26.12.2017 г. № 458 "Об утверждении государственной программы "Обеспечение социальной политики и социальной поддержки граждан в городе Байконур на 2018-2020 годы" (с изменениями)</t>
  </si>
  <si>
    <t>п. 1, 3 ПГА</t>
  </si>
  <si>
    <t>Реестр расходных обязательств города Байконур на 2019 год</t>
  </si>
  <si>
    <t>РО-Б-0095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</si>
  <si>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</si>
  <si>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>3010111000</t>
  </si>
  <si>
    <t>Постановление Главы администрации города Байконур от 20.12.2018 г. № 680 "О выделении денежных средств из резервного фонда администрации города Байконур"</t>
  </si>
  <si>
    <t xml:space="preserve">п.1 </t>
  </si>
  <si>
    <t>РО-А-0012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</si>
  <si>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</si>
  <si>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Распоряжение Правительства Российской Федерации от 28.12.2018 г. № 2973-р</t>
  </si>
  <si>
    <t>абз. 1</t>
  </si>
  <si>
    <t>6010154600</t>
  </si>
  <si>
    <t>РО-А-0013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</si>
  <si>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IV типов, а также после трансплантации органов и (или) тканей</t>
  </si>
  <si>
    <t>Федеральный закон от 29.11.2018 г. № 459-ФЗ "О федеральном бюджете на 2019 год и на плановый период 2020 и 2021 годов"</t>
  </si>
  <si>
    <t>табл.107 приложения 33</t>
  </si>
  <si>
    <t>6010152160</t>
  </si>
  <si>
    <t>РО-Б-0096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</si>
  <si>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</si>
  <si>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9900013210</t>
  </si>
  <si>
    <t>РО-Б-0097</t>
  </si>
  <si>
    <t xml:space="preserve">Возмещение затрат по содержанию и ремонту объектов внешнего благоустройства города Байконур  </t>
  </si>
  <si>
    <t>2000413040</t>
  </si>
  <si>
    <t>РО-Б-0098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</si>
  <si>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</si>
  <si>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2000713120</t>
  </si>
  <si>
    <t>РО-Б-0099</t>
  </si>
  <si>
    <t>РО-Б-0100</t>
  </si>
  <si>
    <t>Обеспечение единовременных расходов для организации и проведения мероприятий в области культуры</t>
  </si>
  <si>
    <t>4010012140</t>
  </si>
  <si>
    <t>РО-Б-0101</t>
  </si>
  <si>
    <t>Возмещение затрат в связи с оказанием населению города Байконур услуг в области лекарственного обеспечения</t>
  </si>
  <si>
    <t>9900013160</t>
  </si>
  <si>
    <t>РО-Б-0102</t>
  </si>
  <si>
    <t>9900012160</t>
  </si>
  <si>
    <t>РО-Б-0103</t>
  </si>
  <si>
    <t>Субсидия в целях финансового обеспечения затрат, связанных с организацией цифрового эфирного телерадиовещания на территории города Байконур и созданием городского телевизионного канала, в том числе на погашение основного долга и процентов по кредиту</t>
  </si>
  <si>
    <t>1201</t>
  </si>
  <si>
    <t>9900013200</t>
  </si>
  <si>
    <t>РО-Б-0104</t>
  </si>
  <si>
    <t>Капитальный ремонт объектов физической культуры и спорта</t>
  </si>
  <si>
    <t>5000380002</t>
  </si>
  <si>
    <t>5000105510</t>
  </si>
  <si>
    <t>Распоряжение Главы администрации города Байконур от 03.11.2018 г. №01-383 р "О видеонаблюдении за периметром города Байконур"</t>
  </si>
  <si>
    <t>п.п.4.2.РГА</t>
  </si>
  <si>
    <t>п.2 ПГА</t>
  </si>
  <si>
    <t>п.3 РГА</t>
  </si>
  <si>
    <t>Постановление Главы администрации г.Байконур от 28 февраля 2018 г. № 78 "О возмещении затрат в связи с оказанием населению города Байконур услуг в области лекарственного обеспечения"</t>
  </si>
  <si>
    <t>п.п.1.1 ПГА</t>
  </si>
  <si>
    <t>Программа "Развитие телерадиовещания в городе Байконур, создание городского телеканала на 2019 год" от 18.02.2019 г.</t>
  </si>
  <si>
    <t>п.5</t>
  </si>
  <si>
    <t>Распоряжение Главы администрации города Байконур от 31.10.2018 г. № 01-432 р "Об утверждении Перечней объектов реконструкции и капитального ремонта инфраструктуры комплекса "Байконур" на 2019 год, финансируемых за счет средств бюджета города Байконур"</t>
  </si>
  <si>
    <t>27.02.2019 г., 14.03.2019 г.</t>
  </si>
  <si>
    <t>Постановление Главы администрации города Байконур от 25.04.2019 г. № 175 "О выделении денежных средств из резервного фонда администрации города Байконур"</t>
  </si>
  <si>
    <t>РО-Б-0105</t>
  </si>
  <si>
    <t>РО-Б-0106</t>
  </si>
  <si>
    <t>Постановление Главы администрации от 25.12.2018 г. № 706 "Об установлении региональных стандартов стоимости жилищно-коммунальных услуг, используемых для расчета субсидий и компенсаций на оплату жилого помещения и коммунальных услуг в городе Байконур"</t>
  </si>
  <si>
    <t>Укрепление материально-технической базы учреждений физической культуры и спорта</t>
  </si>
  <si>
    <t>РО-Б-0107</t>
  </si>
  <si>
    <t>Проведение выборочного текущего ремонта в учреждениях образования</t>
  </si>
  <si>
    <t>3050612180</t>
  </si>
  <si>
    <t>812 (824, 886)</t>
  </si>
  <si>
    <t>Постановление Главы администрации города Байконур от 21.06.2019 г. № 271 "О внесении изменений в государственную программу "Содействие занятости населения города Байконур на 2018 - 2020 годы", утвержденную постановлением Главы администрации города Байконур от 08 ноября 2017 г. № 358"</t>
  </si>
  <si>
    <t>приложение 3, п.4.12</t>
  </si>
  <si>
    <t>Материально-техническое оснащение пункта временного содержания безнадзорных животных</t>
  </si>
  <si>
    <t>Постановление Главы администрации города Байконур от 13.11.2018 г. №610 "О бюджете города Байконур на 2019 год" (с изменениями)</t>
  </si>
  <si>
    <t>дату надо поставить ту которая будет  в уточнении бюджета</t>
  </si>
  <si>
    <t>Федеральный закон от 29.11.2018 N 459-ФЗ "О федеральном бюджете на 2019 год и на плановый период 2020 и 2021 годов"</t>
  </si>
  <si>
    <t>табл. 11 приложения 33</t>
  </si>
  <si>
    <t>РО-Б-0108</t>
  </si>
  <si>
    <t>Постановление Главы администрации города Байконур от 23.07.2019 г. № 340 "О выделении денежных средств из резервного фонда администрации города Байконур"</t>
  </si>
  <si>
    <t>Субсидия  в целях финансового  обеспечения затрат, связанных с приобретением коммунальной техники, служебных и специальных транспотрных средств, в том числе на погашение основного долга и процентов по кредиту</t>
  </si>
  <si>
    <t>Постановление  Главы  администрации  города Байконур от 16 февраля 2018 г. №44 " Об утверждении городской целевой программы "Обновление коммунальной техники, служебных и специальных транспортных средств предприятий и учреждений, находящихся в ведении администрации города Байконур, и структурных подразделений администрации  города Байконур"  ( с изменениями)</t>
  </si>
  <si>
    <t xml:space="preserve">Субсидия в целях компенсации расходов организациям жилищно-коммунального хозяйства, связанных с ростом цен на мазут </t>
  </si>
  <si>
    <t>Федеральный закон от  18 июля 2019 г. №175-ФЗ " О внесении изменений в Федеральный закон " О федеральном бюджете на 2019 год и на плановый период 2020 и 2021 годов"</t>
  </si>
  <si>
    <t>9900013220</t>
  </si>
  <si>
    <t>РО-Б-0109</t>
  </si>
  <si>
    <t>п.6 ПГА</t>
  </si>
  <si>
    <t>РО-Б-0110</t>
  </si>
  <si>
    <t xml:space="preserve">приложение 10.1 </t>
  </si>
  <si>
    <t>812 (...)</t>
  </si>
  <si>
    <t>РО-Б-0111</t>
  </si>
  <si>
    <t>Обеспечение деятельности учреждений в области молодежной политики - ГКУ ЦПМИ "Звездный кампус"</t>
  </si>
  <si>
    <t>Распоряжение Главы администрации города Байконур от 28.06.2019 г. № 01-264р "О создании государственного казенного учреждения "Центр поддержки молодежных инициатив "Звездный кампус"</t>
  </si>
  <si>
    <t>п. 9 РГА</t>
  </si>
  <si>
    <t>4010008090</t>
  </si>
  <si>
    <t>Договор пожертвования от 01.08.2019 г. № 161/19</t>
  </si>
  <si>
    <t>п.1.1.</t>
  </si>
  <si>
    <t>Распоряжение Главы администрации города Байконур от 29.08.2019 г. № 01-372р "О финансовом и материальном обеспечении руководства администрации города Байконур в новой редакции"</t>
  </si>
  <si>
    <t>п. 1, 2 Распоряжения</t>
  </si>
  <si>
    <t>830</t>
  </si>
  <si>
    <t>РО-Б-0112</t>
  </si>
  <si>
    <t>Укрепление материально-технической базы учреждения ветеренарии</t>
  </si>
  <si>
    <t>9900012170</t>
  </si>
  <si>
    <t>РО-Б-0113</t>
  </si>
  <si>
    <t>Финансовое обеспечение затрат, связанных с выполнением работ по эксплуатации газонаполнительной станции</t>
  </si>
  <si>
    <t>9900013230</t>
  </si>
  <si>
    <t>РО-Б-0114</t>
  </si>
  <si>
    <t>Обеспечение расходов в области пожарной безопасности</t>
  </si>
  <si>
    <t>3050812190</t>
  </si>
  <si>
    <t>Пособие на ребенка</t>
  </si>
  <si>
    <t>990007001</t>
  </si>
  <si>
    <t>Постановление Главы администрации города Байконур от 21.03.2019 г. № 110 "О выделении денежных средств из резервного фонда администрации города Байконур" (с изменениями); Постановление Главы администрации города Байконур от 02.04.2019 г. № 129 "О выделении денежных средств из резервного фонда администрации города Байконур" (с изменениями); Постановление Главы администрации города Байконур от 12.07.2019 г. №316 "О выделении денежных средств из резервного фонда администрации города Байконур"</t>
  </si>
  <si>
    <t>21.03.2019, 02.04.2019 г., 12.07.2019 г.</t>
  </si>
  <si>
    <t>Постановлени Главы администрации от 27.02.2019 г. №69 "О выделении денежных средств из резервного фонда администрациии города Байконур"(с изменениями), Постановление Главы администрации города Байконур от 14.03.2019 г. №99 "О выделении денежных средств из резервного фонда администрации города Байконур"(с изменениями)</t>
  </si>
  <si>
    <t xml:space="preserve">Постановление Главы администрации города Байконур от 28 июля 2014 г. № 161 "Об утверждении Порядка предоставления субсидий из бюджета города Байконур государственным бюджетным учреждениям, находящимся в ведении администрации  города Байконур, на финансовое обеспечение выполнения ими государственного задания" </t>
  </si>
  <si>
    <t>03.11.2019г.</t>
  </si>
  <si>
    <t>Распоряжение  Главы администрации от30 июля 2019 г. № 01-323р  "О реорганизации ГУП ПЭО "Байконурэнерго" г. Байконур в форме присоединения к нему ГУП "Газовое хозяйство"</t>
  </si>
  <si>
    <t>п.10.1</t>
  </si>
  <si>
    <t>31.12.2019г.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</si>
</sst>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#,##0.0"/>
    <numFmt numFmtId="180" formatCode="mmm/yyyy"/>
    <numFmt numFmtId="181" formatCode="#,##0.000"/>
    <numFmt numFmtId="182" formatCode="#,##0.00_ ;\-#,##0.0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9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1" fontId="2" fillId="0" borderId="0" xfId="6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 wrapText="1"/>
    </xf>
    <xf numFmtId="0" fontId="0" fillId="0" borderId="17" xfId="0" applyFill="1" applyBorder="1" applyAlignment="1">
      <alignment horizontal="justify" vertical="center" wrapText="1"/>
    </xf>
    <xf numFmtId="0" fontId="0" fillId="0" borderId="22" xfId="0" applyFill="1" applyBorder="1" applyAlignment="1">
      <alignment horizontal="justify" vertical="center" wrapText="1"/>
    </xf>
    <xf numFmtId="0" fontId="0" fillId="0" borderId="18" xfId="0" applyFill="1" applyBorder="1" applyAlignment="1">
      <alignment horizontal="justify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49" fontId="2" fillId="0" borderId="15" xfId="60" applyNumberFormat="1" applyFont="1" applyFill="1" applyBorder="1" applyAlignment="1">
      <alignment horizontal="center" vertical="center" wrapText="1"/>
    </xf>
    <xf numFmtId="171" fontId="2" fillId="0" borderId="15" xfId="60" applyFont="1" applyFill="1" applyBorder="1" applyAlignment="1">
      <alignment horizontal="center" vertical="center" wrapText="1"/>
    </xf>
    <xf numFmtId="171" fontId="2" fillId="0" borderId="15" xfId="60" applyFont="1" applyFill="1" applyBorder="1" applyAlignment="1">
      <alignment horizontal="left" vertical="center" wrapText="1"/>
    </xf>
    <xf numFmtId="171" fontId="2" fillId="0" borderId="12" xfId="60" applyFont="1" applyFill="1" applyBorder="1" applyAlignment="1">
      <alignment horizontal="justify" vertical="center" wrapText="1"/>
    </xf>
    <xf numFmtId="171" fontId="2" fillId="0" borderId="14" xfId="60" applyFont="1" applyFill="1" applyBorder="1" applyAlignment="1">
      <alignment horizontal="justify" vertical="center" wrapText="1"/>
    </xf>
    <xf numFmtId="171" fontId="2" fillId="0" borderId="10" xfId="60" applyFont="1" applyFill="1" applyBorder="1" applyAlignment="1">
      <alignment horizontal="center" vertical="center" wrapText="1"/>
    </xf>
    <xf numFmtId="0" fontId="2" fillId="0" borderId="15" xfId="60" applyNumberFormat="1" applyFont="1" applyFill="1" applyBorder="1" applyAlignment="1">
      <alignment horizontal="center" vertical="center" wrapText="1"/>
    </xf>
    <xf numFmtId="182" fontId="2" fillId="0" borderId="15" xfId="60" applyNumberFormat="1" applyFont="1" applyFill="1" applyBorder="1" applyAlignment="1">
      <alignment horizontal="center" vertical="center" wrapText="1"/>
    </xf>
    <xf numFmtId="171" fontId="1" fillId="0" borderId="0" xfId="6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 vertical="center" wrapText="1"/>
    </xf>
    <xf numFmtId="179" fontId="2" fillId="0" borderId="1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center" wrapText="1"/>
    </xf>
    <xf numFmtId="179" fontId="2" fillId="0" borderId="1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0" xfId="0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97"/>
  <sheetViews>
    <sheetView tabSelected="1" zoomScale="75" zoomScaleNormal="75" zoomScaleSheetLayoutView="55" zoomScalePageLayoutView="55" workbookViewId="0" topLeftCell="A1">
      <pane ySplit="9" topLeftCell="A10" activePane="bottomLeft" state="frozen"/>
      <selection pane="topLeft" activeCell="A1" sqref="A1"/>
      <selection pane="bottomLeft" activeCell="A282" sqref="A282:Q282"/>
    </sheetView>
  </sheetViews>
  <sheetFormatPr defaultColWidth="8.875" defaultRowHeight="12.75"/>
  <cols>
    <col min="1" max="1" width="11.75390625" style="5" customWidth="1"/>
    <col min="2" max="2" width="15.00390625" style="5" customWidth="1"/>
    <col min="3" max="3" width="44.125" style="6" customWidth="1"/>
    <col min="4" max="4" width="17.875" style="6" customWidth="1"/>
    <col min="5" max="5" width="52.375" style="6" customWidth="1"/>
    <col min="6" max="6" width="21.25390625" style="6" customWidth="1"/>
    <col min="7" max="7" width="18.125" style="5" customWidth="1"/>
    <col min="8" max="8" width="15.75390625" style="5" customWidth="1"/>
    <col min="9" max="9" width="11.25390625" style="5" customWidth="1"/>
    <col min="10" max="10" width="17.375" style="5" customWidth="1"/>
    <col min="11" max="11" width="6.25390625" style="5" customWidth="1"/>
    <col min="12" max="12" width="11.25390625" style="5" customWidth="1"/>
    <col min="13" max="13" width="15.125" style="5" customWidth="1"/>
    <col min="14" max="16" width="14.375" style="5" customWidth="1"/>
    <col min="17" max="17" width="23.375" style="6" customWidth="1"/>
    <col min="18" max="18" width="12.75390625" style="22" customWidth="1"/>
    <col min="19" max="19" width="11.25390625" style="22" bestFit="1" customWidth="1"/>
    <col min="20" max="53" width="8.875" style="22" customWidth="1"/>
    <col min="54" max="16384" width="8.875" style="9" customWidth="1"/>
  </cols>
  <sheetData>
    <row r="1" spans="2:17" ht="26.25" customHeight="1">
      <c r="B1" s="1"/>
      <c r="C1" s="3"/>
      <c r="D1" s="1"/>
      <c r="E1" s="1"/>
      <c r="F1" s="1"/>
      <c r="O1" s="36"/>
      <c r="P1" s="36"/>
      <c r="Q1" s="36"/>
    </row>
    <row r="2" spans="2:17" ht="26.25" customHeight="1">
      <c r="B2" s="1"/>
      <c r="C2" s="3"/>
      <c r="D2" s="1"/>
      <c r="E2" s="1"/>
      <c r="F2" s="1"/>
      <c r="O2" s="36"/>
      <c r="P2" s="36"/>
      <c r="Q2" s="36"/>
    </row>
    <row r="3" spans="1:17" ht="26.25" customHeight="1">
      <c r="A3" s="1"/>
      <c r="B3" s="1"/>
      <c r="C3" s="1"/>
      <c r="D3" s="1"/>
      <c r="E3" s="37" t="s">
        <v>492</v>
      </c>
      <c r="F3" s="37"/>
      <c r="G3" s="37"/>
      <c r="H3" s="37"/>
      <c r="I3" s="37"/>
      <c r="J3" s="37"/>
      <c r="K3" s="37"/>
      <c r="L3" s="37"/>
      <c r="M3" s="1"/>
      <c r="N3" s="1"/>
      <c r="O3" s="38"/>
      <c r="P3" s="38"/>
      <c r="Q3" s="38"/>
    </row>
    <row r="4" spans="1:17" ht="26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8"/>
      <c r="P4" s="38"/>
      <c r="Q4" s="38"/>
    </row>
    <row r="5" spans="2:17" ht="26.25" customHeight="1">
      <c r="B5" s="2"/>
      <c r="C5" s="4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38"/>
      <c r="P5" s="38"/>
      <c r="Q5" s="38"/>
    </row>
    <row r="6" ht="24.75" customHeight="1">
      <c r="Q6" s="7"/>
    </row>
    <row r="7" spans="1:17" ht="47.25" customHeight="1">
      <c r="A7" s="34" t="s">
        <v>119</v>
      </c>
      <c r="B7" s="34" t="s">
        <v>97</v>
      </c>
      <c r="C7" s="32" t="s">
        <v>93</v>
      </c>
      <c r="D7" s="32" t="s">
        <v>170</v>
      </c>
      <c r="E7" s="32"/>
      <c r="F7" s="32" t="s">
        <v>171</v>
      </c>
      <c r="G7" s="32" t="s">
        <v>85</v>
      </c>
      <c r="H7" s="32"/>
      <c r="I7" s="32" t="s">
        <v>84</v>
      </c>
      <c r="J7" s="32"/>
      <c r="K7" s="32"/>
      <c r="L7" s="32"/>
      <c r="M7" s="32" t="s">
        <v>98</v>
      </c>
      <c r="N7" s="35"/>
      <c r="O7" s="35"/>
      <c r="P7" s="35"/>
      <c r="Q7" s="32" t="s">
        <v>133</v>
      </c>
    </row>
    <row r="8" spans="1:18" ht="29.25" customHeight="1">
      <c r="A8" s="34"/>
      <c r="B8" s="34"/>
      <c r="C8" s="32"/>
      <c r="D8" s="32"/>
      <c r="E8" s="32"/>
      <c r="F8" s="35"/>
      <c r="G8" s="32" t="s">
        <v>89</v>
      </c>
      <c r="H8" s="32" t="s">
        <v>90</v>
      </c>
      <c r="I8" s="34" t="s">
        <v>96</v>
      </c>
      <c r="J8" s="34" t="s">
        <v>86</v>
      </c>
      <c r="K8" s="34" t="s">
        <v>87</v>
      </c>
      <c r="L8" s="34" t="s">
        <v>88</v>
      </c>
      <c r="M8" s="32" t="s">
        <v>420</v>
      </c>
      <c r="N8" s="33"/>
      <c r="O8" s="34" t="s">
        <v>421</v>
      </c>
      <c r="P8" s="34" t="s">
        <v>422</v>
      </c>
      <c r="Q8" s="32"/>
      <c r="R8" s="23"/>
    </row>
    <row r="9" spans="1:18" ht="79.5" customHeight="1">
      <c r="A9" s="34"/>
      <c r="B9" s="34"/>
      <c r="C9" s="32"/>
      <c r="D9" s="32"/>
      <c r="E9" s="32"/>
      <c r="F9" s="35"/>
      <c r="G9" s="32"/>
      <c r="H9" s="32"/>
      <c r="I9" s="34"/>
      <c r="J9" s="34"/>
      <c r="K9" s="34"/>
      <c r="L9" s="34"/>
      <c r="M9" s="15" t="s">
        <v>166</v>
      </c>
      <c r="N9" s="15" t="s">
        <v>167</v>
      </c>
      <c r="O9" s="34"/>
      <c r="P9" s="34"/>
      <c r="Q9" s="32"/>
      <c r="R9" s="23"/>
    </row>
    <row r="10" spans="1:18" ht="26.25" customHeight="1">
      <c r="A10" s="11">
        <v>1</v>
      </c>
      <c r="B10" s="11">
        <v>2</v>
      </c>
      <c r="C10" s="11">
        <v>3</v>
      </c>
      <c r="D10" s="32">
        <v>4</v>
      </c>
      <c r="E10" s="32"/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23"/>
    </row>
    <row r="11" spans="1:18" s="9" customFormat="1" ht="56.25" customHeight="1">
      <c r="A11" s="39" t="s">
        <v>427</v>
      </c>
      <c r="B11" s="39" t="s">
        <v>101</v>
      </c>
      <c r="C11" s="40" t="s">
        <v>68</v>
      </c>
      <c r="D11" s="41" t="s">
        <v>215</v>
      </c>
      <c r="E11" s="41"/>
      <c r="F11" s="42" t="s">
        <v>278</v>
      </c>
      <c r="G11" s="43">
        <v>34929</v>
      </c>
      <c r="H11" s="42" t="s">
        <v>9</v>
      </c>
      <c r="I11" s="44" t="s">
        <v>154</v>
      </c>
      <c r="J11" s="44" t="s">
        <v>304</v>
      </c>
      <c r="K11" s="44" t="s">
        <v>163</v>
      </c>
      <c r="L11" s="39">
        <v>200</v>
      </c>
      <c r="M11" s="45">
        <v>5026.1</v>
      </c>
      <c r="N11" s="45">
        <v>4833.6</v>
      </c>
      <c r="O11" s="45">
        <f>4132+171.8</f>
        <v>4303.8</v>
      </c>
      <c r="P11" s="45">
        <f>O11</f>
        <v>4303.8</v>
      </c>
      <c r="Q11" s="39" t="s">
        <v>140</v>
      </c>
      <c r="R11" s="46"/>
    </row>
    <row r="12" spans="1:18" s="9" customFormat="1" ht="74.25" customHeight="1">
      <c r="A12" s="47"/>
      <c r="B12" s="47"/>
      <c r="C12" s="48"/>
      <c r="D12" s="49" t="s">
        <v>579</v>
      </c>
      <c r="E12" s="50"/>
      <c r="F12" s="42" t="s">
        <v>580</v>
      </c>
      <c r="G12" s="43">
        <v>43709</v>
      </c>
      <c r="H12" s="42" t="s">
        <v>9</v>
      </c>
      <c r="I12" s="51"/>
      <c r="J12" s="51"/>
      <c r="K12" s="51"/>
      <c r="L12" s="47"/>
      <c r="M12" s="52"/>
      <c r="N12" s="52"/>
      <c r="O12" s="52"/>
      <c r="P12" s="52"/>
      <c r="Q12" s="47"/>
      <c r="R12" s="46"/>
    </row>
    <row r="13" spans="1:18" s="9" customFormat="1" ht="24" customHeight="1">
      <c r="A13" s="53" t="s">
        <v>427</v>
      </c>
      <c r="B13" s="53" t="s">
        <v>102</v>
      </c>
      <c r="C13" s="54" t="s">
        <v>69</v>
      </c>
      <c r="D13" s="41" t="s">
        <v>216</v>
      </c>
      <c r="E13" s="41"/>
      <c r="F13" s="53" t="s">
        <v>175</v>
      </c>
      <c r="G13" s="55">
        <v>40095</v>
      </c>
      <c r="H13" s="53" t="s">
        <v>9</v>
      </c>
      <c r="I13" s="44" t="s">
        <v>150</v>
      </c>
      <c r="J13" s="44" t="s">
        <v>217</v>
      </c>
      <c r="K13" s="56" t="s">
        <v>163</v>
      </c>
      <c r="L13" s="42">
        <v>200</v>
      </c>
      <c r="M13" s="57">
        <v>168971.2</v>
      </c>
      <c r="N13" s="57">
        <v>165634.2</v>
      </c>
      <c r="O13" s="57">
        <f>169222.1+4558.5+1597.8</f>
        <v>175378.4</v>
      </c>
      <c r="P13" s="57">
        <f>O13</f>
        <v>175378.4</v>
      </c>
      <c r="Q13" s="53" t="s">
        <v>140</v>
      </c>
      <c r="R13" s="58"/>
    </row>
    <row r="14" spans="1:18" s="9" customFormat="1" ht="24" customHeight="1">
      <c r="A14" s="53"/>
      <c r="B14" s="53"/>
      <c r="C14" s="59"/>
      <c r="D14" s="60"/>
      <c r="E14" s="60"/>
      <c r="F14" s="61"/>
      <c r="G14" s="53"/>
      <c r="H14" s="53"/>
      <c r="I14" s="62"/>
      <c r="J14" s="62"/>
      <c r="K14" s="63" t="s">
        <v>159</v>
      </c>
      <c r="L14" s="53" t="s">
        <v>128</v>
      </c>
      <c r="M14" s="64">
        <v>26833</v>
      </c>
      <c r="N14" s="64">
        <v>25568.1</v>
      </c>
      <c r="O14" s="64">
        <v>32611.4</v>
      </c>
      <c r="P14" s="64">
        <f>O14*1.04</f>
        <v>33915.856</v>
      </c>
      <c r="Q14" s="61"/>
      <c r="R14" s="58"/>
    </row>
    <row r="15" spans="1:18" s="9" customFormat="1" ht="24" customHeight="1">
      <c r="A15" s="53"/>
      <c r="B15" s="53"/>
      <c r="C15" s="59"/>
      <c r="D15" s="60"/>
      <c r="E15" s="60"/>
      <c r="F15" s="61"/>
      <c r="G15" s="53"/>
      <c r="H15" s="53"/>
      <c r="I15" s="62"/>
      <c r="J15" s="62"/>
      <c r="K15" s="63"/>
      <c r="L15" s="53"/>
      <c r="M15" s="64"/>
      <c r="N15" s="64"/>
      <c r="O15" s="64"/>
      <c r="P15" s="64"/>
      <c r="Q15" s="61"/>
      <c r="R15" s="25"/>
    </row>
    <row r="16" spans="1:18" s="9" customFormat="1" ht="24" customHeight="1">
      <c r="A16" s="53"/>
      <c r="B16" s="53"/>
      <c r="C16" s="59"/>
      <c r="D16" s="60"/>
      <c r="E16" s="60"/>
      <c r="F16" s="61"/>
      <c r="G16" s="53"/>
      <c r="H16" s="53"/>
      <c r="I16" s="62"/>
      <c r="J16" s="62"/>
      <c r="K16" s="56" t="s">
        <v>165</v>
      </c>
      <c r="L16" s="42">
        <v>300</v>
      </c>
      <c r="M16" s="57">
        <v>547</v>
      </c>
      <c r="N16" s="57">
        <v>547</v>
      </c>
      <c r="O16" s="57">
        <v>0</v>
      </c>
      <c r="P16" s="57">
        <f>O16*1.04</f>
        <v>0</v>
      </c>
      <c r="Q16" s="61"/>
      <c r="R16" s="58"/>
    </row>
    <row r="17" spans="1:53" ht="74.25" customHeight="1">
      <c r="A17" s="53"/>
      <c r="B17" s="53"/>
      <c r="C17" s="65"/>
      <c r="D17" s="49" t="s">
        <v>579</v>
      </c>
      <c r="E17" s="50"/>
      <c r="F17" s="42" t="s">
        <v>580</v>
      </c>
      <c r="G17" s="43">
        <v>43709</v>
      </c>
      <c r="H17" s="42" t="s">
        <v>9</v>
      </c>
      <c r="I17" s="51"/>
      <c r="J17" s="51"/>
      <c r="K17" s="56" t="s">
        <v>164</v>
      </c>
      <c r="L17" s="42">
        <v>200</v>
      </c>
      <c r="M17" s="57">
        <v>197</v>
      </c>
      <c r="N17" s="57">
        <v>189.9</v>
      </c>
      <c r="O17" s="57">
        <v>265.1</v>
      </c>
      <c r="P17" s="57">
        <f>O17*1.04</f>
        <v>275.704</v>
      </c>
      <c r="Q17" s="66"/>
      <c r="R17" s="46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60.75" customHeight="1">
      <c r="A18" s="42">
        <v>812</v>
      </c>
      <c r="B18" s="42" t="s">
        <v>103</v>
      </c>
      <c r="C18" s="67" t="s">
        <v>218</v>
      </c>
      <c r="D18" s="41" t="s">
        <v>215</v>
      </c>
      <c r="E18" s="41"/>
      <c r="F18" s="42" t="s">
        <v>278</v>
      </c>
      <c r="G18" s="43">
        <v>34929</v>
      </c>
      <c r="H18" s="42" t="s">
        <v>9</v>
      </c>
      <c r="I18" s="56" t="s">
        <v>150</v>
      </c>
      <c r="J18" s="56" t="s">
        <v>217</v>
      </c>
      <c r="K18" s="56" t="s">
        <v>163</v>
      </c>
      <c r="L18" s="42">
        <v>200</v>
      </c>
      <c r="M18" s="57">
        <v>15965.3</v>
      </c>
      <c r="N18" s="57">
        <v>15964.8</v>
      </c>
      <c r="O18" s="57">
        <f>15390.3+1150-4558.5-0.3</f>
        <v>11981.5</v>
      </c>
      <c r="P18" s="57">
        <f>O18</f>
        <v>11981.5</v>
      </c>
      <c r="Q18" s="42" t="s">
        <v>140</v>
      </c>
      <c r="R18" s="4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33" customHeight="1">
      <c r="A19" s="53" t="s">
        <v>446</v>
      </c>
      <c r="B19" s="53" t="s">
        <v>104</v>
      </c>
      <c r="C19" s="41" t="s">
        <v>316</v>
      </c>
      <c r="D19" s="41" t="s">
        <v>221</v>
      </c>
      <c r="E19" s="41"/>
      <c r="F19" s="53" t="s">
        <v>271</v>
      </c>
      <c r="G19" s="55">
        <v>39541</v>
      </c>
      <c r="H19" s="53" t="s">
        <v>9</v>
      </c>
      <c r="I19" s="63" t="s">
        <v>150</v>
      </c>
      <c r="J19" s="63" t="s">
        <v>217</v>
      </c>
      <c r="K19" s="56" t="s">
        <v>163</v>
      </c>
      <c r="L19" s="42">
        <v>200</v>
      </c>
      <c r="M19" s="57">
        <v>21422.5</v>
      </c>
      <c r="N19" s="57">
        <v>21383.9</v>
      </c>
      <c r="O19" s="57">
        <f>20298.7+912.5</f>
        <v>21211.2</v>
      </c>
      <c r="P19" s="57">
        <f>O19</f>
        <v>21211.2</v>
      </c>
      <c r="Q19" s="53" t="s">
        <v>140</v>
      </c>
      <c r="R19" s="46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ht="33" customHeight="1">
      <c r="A20" s="53"/>
      <c r="B20" s="53"/>
      <c r="C20" s="68"/>
      <c r="D20" s="60"/>
      <c r="E20" s="60"/>
      <c r="F20" s="61"/>
      <c r="G20" s="53"/>
      <c r="H20" s="53"/>
      <c r="I20" s="63"/>
      <c r="J20" s="63"/>
      <c r="K20" s="56" t="s">
        <v>159</v>
      </c>
      <c r="L20" s="42" t="s">
        <v>128</v>
      </c>
      <c r="M20" s="57">
        <v>3592.6</v>
      </c>
      <c r="N20" s="57">
        <v>3348.3</v>
      </c>
      <c r="O20" s="57">
        <f>4257.9-835.5</f>
        <v>3422.3999999999996</v>
      </c>
      <c r="P20" s="57">
        <f>O20*1.04</f>
        <v>3559.296</v>
      </c>
      <c r="Q20" s="53"/>
      <c r="R20" s="46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33" customHeight="1">
      <c r="A21" s="53"/>
      <c r="B21" s="53"/>
      <c r="C21" s="68"/>
      <c r="D21" s="60"/>
      <c r="E21" s="60"/>
      <c r="F21" s="61"/>
      <c r="G21" s="53"/>
      <c r="H21" s="53"/>
      <c r="I21" s="63"/>
      <c r="J21" s="63"/>
      <c r="K21" s="56" t="s">
        <v>165</v>
      </c>
      <c r="L21" s="42">
        <v>200</v>
      </c>
      <c r="M21" s="57">
        <v>232.9</v>
      </c>
      <c r="N21" s="57">
        <v>232.9</v>
      </c>
      <c r="O21" s="57">
        <v>0</v>
      </c>
      <c r="P21" s="57">
        <v>0</v>
      </c>
      <c r="Q21" s="53"/>
      <c r="R21" s="46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33" customHeight="1">
      <c r="A22" s="53"/>
      <c r="B22" s="53"/>
      <c r="C22" s="68"/>
      <c r="D22" s="60"/>
      <c r="E22" s="60"/>
      <c r="F22" s="61"/>
      <c r="G22" s="53"/>
      <c r="H22" s="53"/>
      <c r="I22" s="63"/>
      <c r="J22" s="53"/>
      <c r="K22" s="56" t="s">
        <v>164</v>
      </c>
      <c r="L22" s="42">
        <v>200</v>
      </c>
      <c r="M22" s="57">
        <v>1.8</v>
      </c>
      <c r="N22" s="57">
        <v>1.7</v>
      </c>
      <c r="O22" s="57">
        <f>12-11</f>
        <v>1</v>
      </c>
      <c r="P22" s="57">
        <f>O22</f>
        <v>1</v>
      </c>
      <c r="Q22" s="53"/>
      <c r="R22" s="4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ht="33" customHeight="1">
      <c r="A23" s="53" t="s">
        <v>448</v>
      </c>
      <c r="B23" s="53" t="s">
        <v>465</v>
      </c>
      <c r="C23" s="41" t="s">
        <v>382</v>
      </c>
      <c r="D23" s="41" t="s">
        <v>383</v>
      </c>
      <c r="E23" s="41"/>
      <c r="F23" s="53" t="s">
        <v>384</v>
      </c>
      <c r="G23" s="55">
        <v>43160</v>
      </c>
      <c r="H23" s="53" t="s">
        <v>9</v>
      </c>
      <c r="I23" s="63" t="s">
        <v>150</v>
      </c>
      <c r="J23" s="63" t="s">
        <v>217</v>
      </c>
      <c r="K23" s="56" t="s">
        <v>163</v>
      </c>
      <c r="L23" s="42">
        <v>200</v>
      </c>
      <c r="M23" s="57">
        <v>21104.3</v>
      </c>
      <c r="N23" s="57">
        <v>19885.7</v>
      </c>
      <c r="O23" s="57">
        <f>25476.9-408.1</f>
        <v>25068.800000000003</v>
      </c>
      <c r="P23" s="57">
        <f>O23</f>
        <v>25068.800000000003</v>
      </c>
      <c r="Q23" s="53" t="s">
        <v>140</v>
      </c>
      <c r="R23" s="46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ht="33" customHeight="1">
      <c r="A24" s="53"/>
      <c r="B24" s="53"/>
      <c r="C24" s="68"/>
      <c r="D24" s="60"/>
      <c r="E24" s="60"/>
      <c r="F24" s="61"/>
      <c r="G24" s="53"/>
      <c r="H24" s="53"/>
      <c r="I24" s="63"/>
      <c r="J24" s="63"/>
      <c r="K24" s="56" t="s">
        <v>159</v>
      </c>
      <c r="L24" s="42" t="s">
        <v>128</v>
      </c>
      <c r="M24" s="57">
        <v>1441.5</v>
      </c>
      <c r="N24" s="57">
        <v>1267.5</v>
      </c>
      <c r="O24" s="57">
        <f>2816.1-540</f>
        <v>2276.1</v>
      </c>
      <c r="P24" s="57">
        <f>O24*1.04</f>
        <v>2367.144</v>
      </c>
      <c r="Q24" s="53"/>
      <c r="R24" s="46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33" customHeight="1">
      <c r="A25" s="53"/>
      <c r="B25" s="53"/>
      <c r="C25" s="68"/>
      <c r="D25" s="60"/>
      <c r="E25" s="60"/>
      <c r="F25" s="61"/>
      <c r="G25" s="53"/>
      <c r="H25" s="53"/>
      <c r="I25" s="63"/>
      <c r="J25" s="63"/>
      <c r="K25" s="56" t="s">
        <v>165</v>
      </c>
      <c r="L25" s="42">
        <v>200</v>
      </c>
      <c r="M25" s="57">
        <v>229.5</v>
      </c>
      <c r="N25" s="57">
        <v>229.5</v>
      </c>
      <c r="O25" s="57">
        <v>0</v>
      </c>
      <c r="P25" s="57">
        <v>0</v>
      </c>
      <c r="Q25" s="53"/>
      <c r="R25" s="46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33" customHeight="1">
      <c r="A26" s="53"/>
      <c r="B26" s="53"/>
      <c r="C26" s="68"/>
      <c r="D26" s="60"/>
      <c r="E26" s="60"/>
      <c r="F26" s="61"/>
      <c r="G26" s="53"/>
      <c r="H26" s="53"/>
      <c r="I26" s="63"/>
      <c r="J26" s="53"/>
      <c r="K26" s="56" t="s">
        <v>164</v>
      </c>
      <c r="L26" s="42">
        <v>200</v>
      </c>
      <c r="M26" s="57">
        <v>7.2</v>
      </c>
      <c r="N26" s="57">
        <v>2.1</v>
      </c>
      <c r="O26" s="57">
        <f>14.5-7.3</f>
        <v>7.2</v>
      </c>
      <c r="P26" s="57">
        <f>O26</f>
        <v>7.2</v>
      </c>
      <c r="Q26" s="53"/>
      <c r="R26" s="46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48" customHeight="1">
      <c r="A27" s="69" t="s">
        <v>427</v>
      </c>
      <c r="B27" s="69" t="s">
        <v>1</v>
      </c>
      <c r="C27" s="70" t="s">
        <v>348</v>
      </c>
      <c r="D27" s="71" t="s">
        <v>349</v>
      </c>
      <c r="E27" s="72"/>
      <c r="F27" s="69" t="s">
        <v>278</v>
      </c>
      <c r="G27" s="73">
        <v>42145</v>
      </c>
      <c r="H27" s="69" t="s">
        <v>350</v>
      </c>
      <c r="I27" s="74" t="s">
        <v>150</v>
      </c>
      <c r="J27" s="74" t="s">
        <v>351</v>
      </c>
      <c r="K27" s="56" t="s">
        <v>164</v>
      </c>
      <c r="L27" s="42">
        <v>200</v>
      </c>
      <c r="M27" s="57">
        <v>360</v>
      </c>
      <c r="N27" s="57">
        <v>360</v>
      </c>
      <c r="O27" s="57">
        <v>360</v>
      </c>
      <c r="P27" s="57">
        <v>0</v>
      </c>
      <c r="Q27" s="42" t="s">
        <v>140</v>
      </c>
      <c r="R27" s="46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30" customHeight="1">
      <c r="A28" s="39" t="s">
        <v>427</v>
      </c>
      <c r="B28" s="39" t="s">
        <v>289</v>
      </c>
      <c r="C28" s="40" t="s">
        <v>290</v>
      </c>
      <c r="D28" s="75" t="s">
        <v>471</v>
      </c>
      <c r="E28" s="54"/>
      <c r="F28" s="39" t="s">
        <v>473</v>
      </c>
      <c r="G28" s="76" t="s">
        <v>472</v>
      </c>
      <c r="H28" s="76">
        <v>43830</v>
      </c>
      <c r="I28" s="44" t="s">
        <v>150</v>
      </c>
      <c r="J28" s="44" t="s">
        <v>291</v>
      </c>
      <c r="K28" s="56" t="s">
        <v>163</v>
      </c>
      <c r="L28" s="42">
        <v>200</v>
      </c>
      <c r="M28" s="57">
        <v>4799.2</v>
      </c>
      <c r="N28" s="57">
        <v>4681.1</v>
      </c>
      <c r="O28" s="57">
        <v>4916.1</v>
      </c>
      <c r="P28" s="57">
        <f>O28</f>
        <v>4916.1</v>
      </c>
      <c r="Q28" s="39" t="s">
        <v>140</v>
      </c>
      <c r="R28" s="46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ht="28.5" customHeight="1">
      <c r="A29" s="77"/>
      <c r="B29" s="77"/>
      <c r="C29" s="78"/>
      <c r="D29" s="79"/>
      <c r="E29" s="59"/>
      <c r="F29" s="77"/>
      <c r="G29" s="80"/>
      <c r="H29" s="80"/>
      <c r="I29" s="62"/>
      <c r="J29" s="62"/>
      <c r="K29" s="56" t="s">
        <v>159</v>
      </c>
      <c r="L29" s="42" t="s">
        <v>128</v>
      </c>
      <c r="M29" s="57">
        <v>1778.9</v>
      </c>
      <c r="N29" s="57">
        <v>1611.5</v>
      </c>
      <c r="O29" s="57">
        <v>1813.4</v>
      </c>
      <c r="P29" s="57">
        <v>1505.1</v>
      </c>
      <c r="Q29" s="77"/>
      <c r="R29" s="46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26.25" customHeight="1">
      <c r="A30" s="47"/>
      <c r="B30" s="47"/>
      <c r="C30" s="48"/>
      <c r="D30" s="81"/>
      <c r="E30" s="65"/>
      <c r="F30" s="47"/>
      <c r="G30" s="82"/>
      <c r="H30" s="82"/>
      <c r="I30" s="51"/>
      <c r="J30" s="51"/>
      <c r="K30" s="56" t="s">
        <v>165</v>
      </c>
      <c r="L30" s="42">
        <v>200</v>
      </c>
      <c r="M30" s="57">
        <v>51.7</v>
      </c>
      <c r="N30" s="57">
        <v>49.7</v>
      </c>
      <c r="O30" s="57">
        <v>0</v>
      </c>
      <c r="P30" s="57">
        <f>O30</f>
        <v>0</v>
      </c>
      <c r="Q30" s="47"/>
      <c r="R30" s="46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27" customHeight="1">
      <c r="A31" s="53" t="s">
        <v>447</v>
      </c>
      <c r="B31" s="53" t="s">
        <v>105</v>
      </c>
      <c r="C31" s="41" t="s">
        <v>71</v>
      </c>
      <c r="D31" s="41" t="s">
        <v>219</v>
      </c>
      <c r="E31" s="41"/>
      <c r="F31" s="53" t="s">
        <v>175</v>
      </c>
      <c r="G31" s="55">
        <v>41715</v>
      </c>
      <c r="H31" s="53" t="s">
        <v>9</v>
      </c>
      <c r="I31" s="63" t="s">
        <v>220</v>
      </c>
      <c r="J31" s="63" t="s">
        <v>217</v>
      </c>
      <c r="K31" s="56" t="s">
        <v>163</v>
      </c>
      <c r="L31" s="42">
        <v>200</v>
      </c>
      <c r="M31" s="57">
        <v>19554.1</v>
      </c>
      <c r="N31" s="57">
        <v>18950.6</v>
      </c>
      <c r="O31" s="57">
        <v>20391.6</v>
      </c>
      <c r="P31" s="57">
        <f>O31</f>
        <v>20391.6</v>
      </c>
      <c r="Q31" s="53" t="s">
        <v>140</v>
      </c>
      <c r="R31" s="5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27" customHeight="1">
      <c r="A32" s="53"/>
      <c r="B32" s="53"/>
      <c r="C32" s="41"/>
      <c r="D32" s="60"/>
      <c r="E32" s="60"/>
      <c r="F32" s="61"/>
      <c r="G32" s="53"/>
      <c r="H32" s="53"/>
      <c r="I32" s="63"/>
      <c r="J32" s="63"/>
      <c r="K32" s="56" t="s">
        <v>159</v>
      </c>
      <c r="L32" s="42" t="s">
        <v>128</v>
      </c>
      <c r="M32" s="57">
        <v>997.1</v>
      </c>
      <c r="N32" s="57">
        <v>976.9</v>
      </c>
      <c r="O32" s="57">
        <v>1167.5</v>
      </c>
      <c r="P32" s="57">
        <f>O32*1.04</f>
        <v>1214.2</v>
      </c>
      <c r="Q32" s="53"/>
      <c r="R32" s="5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18" s="9" customFormat="1" ht="27" customHeight="1">
      <c r="A33" s="53"/>
      <c r="B33" s="53"/>
      <c r="C33" s="41"/>
      <c r="D33" s="60"/>
      <c r="E33" s="60"/>
      <c r="F33" s="61"/>
      <c r="G33" s="53"/>
      <c r="H33" s="53"/>
      <c r="I33" s="53"/>
      <c r="J33" s="63"/>
      <c r="K33" s="56" t="s">
        <v>164</v>
      </c>
      <c r="L33" s="42">
        <v>200</v>
      </c>
      <c r="M33" s="57">
        <v>0</v>
      </c>
      <c r="N33" s="57">
        <v>0</v>
      </c>
      <c r="O33" s="57">
        <v>3</v>
      </c>
      <c r="P33" s="57">
        <f>O33</f>
        <v>3</v>
      </c>
      <c r="Q33" s="53"/>
      <c r="R33" s="46"/>
    </row>
    <row r="34" spans="1:18" s="9" customFormat="1" ht="28.5" customHeight="1">
      <c r="A34" s="53">
        <v>812</v>
      </c>
      <c r="B34" s="53" t="s">
        <v>106</v>
      </c>
      <c r="C34" s="41" t="s">
        <v>70</v>
      </c>
      <c r="D34" s="41" t="s">
        <v>309</v>
      </c>
      <c r="E34" s="41"/>
      <c r="F34" s="53" t="s">
        <v>271</v>
      </c>
      <c r="G34" s="55">
        <v>40634</v>
      </c>
      <c r="H34" s="53" t="s">
        <v>9</v>
      </c>
      <c r="I34" s="63" t="s">
        <v>220</v>
      </c>
      <c r="J34" s="63" t="s">
        <v>217</v>
      </c>
      <c r="K34" s="56" t="s">
        <v>163</v>
      </c>
      <c r="L34" s="42">
        <v>200</v>
      </c>
      <c r="M34" s="57">
        <v>37001.2</v>
      </c>
      <c r="N34" s="57">
        <v>36560.7</v>
      </c>
      <c r="O34" s="57">
        <v>37183.7</v>
      </c>
      <c r="P34" s="57">
        <f>O34</f>
        <v>37183.7</v>
      </c>
      <c r="Q34" s="53" t="s">
        <v>140</v>
      </c>
      <c r="R34" s="46"/>
    </row>
    <row r="35" spans="1:18" s="9" customFormat="1" ht="28.5" customHeight="1">
      <c r="A35" s="53"/>
      <c r="B35" s="53"/>
      <c r="C35" s="41"/>
      <c r="D35" s="60"/>
      <c r="E35" s="60"/>
      <c r="F35" s="61"/>
      <c r="G35" s="53"/>
      <c r="H35" s="53"/>
      <c r="I35" s="63"/>
      <c r="J35" s="63"/>
      <c r="K35" s="56" t="s">
        <v>159</v>
      </c>
      <c r="L35" s="42" t="s">
        <v>128</v>
      </c>
      <c r="M35" s="57">
        <v>3410.8</v>
      </c>
      <c r="N35" s="57">
        <v>3375.7</v>
      </c>
      <c r="O35" s="57">
        <f>5285.2-1150-30</f>
        <v>4105.2</v>
      </c>
      <c r="P35" s="57">
        <f>O35*1.04</f>
        <v>4269.408</v>
      </c>
      <c r="Q35" s="53"/>
      <c r="R35" s="46"/>
    </row>
    <row r="36" spans="1:18" s="9" customFormat="1" ht="28.5" customHeight="1">
      <c r="A36" s="53"/>
      <c r="B36" s="53"/>
      <c r="C36" s="41"/>
      <c r="D36" s="60"/>
      <c r="E36" s="60"/>
      <c r="F36" s="61"/>
      <c r="G36" s="53"/>
      <c r="H36" s="53"/>
      <c r="I36" s="63"/>
      <c r="J36" s="63"/>
      <c r="K36" s="56" t="s">
        <v>165</v>
      </c>
      <c r="L36" s="42">
        <v>200</v>
      </c>
      <c r="M36" s="57">
        <v>234</v>
      </c>
      <c r="N36" s="57">
        <v>233.9</v>
      </c>
      <c r="O36" s="57">
        <v>0</v>
      </c>
      <c r="P36" s="57">
        <v>0</v>
      </c>
      <c r="Q36" s="53"/>
      <c r="R36" s="46"/>
    </row>
    <row r="37" spans="1:18" s="9" customFormat="1" ht="28.5" customHeight="1">
      <c r="A37" s="53"/>
      <c r="B37" s="53"/>
      <c r="C37" s="41"/>
      <c r="D37" s="60"/>
      <c r="E37" s="60"/>
      <c r="F37" s="61"/>
      <c r="G37" s="53"/>
      <c r="H37" s="53"/>
      <c r="I37" s="53"/>
      <c r="J37" s="63"/>
      <c r="K37" s="56" t="s">
        <v>164</v>
      </c>
      <c r="L37" s="42">
        <v>200</v>
      </c>
      <c r="M37" s="57">
        <v>2.4</v>
      </c>
      <c r="N37" s="57">
        <v>1.2</v>
      </c>
      <c r="O37" s="57">
        <f>10+30-35</f>
        <v>5</v>
      </c>
      <c r="P37" s="57">
        <f>O37</f>
        <v>5</v>
      </c>
      <c r="Q37" s="53"/>
      <c r="R37" s="46"/>
    </row>
    <row r="38" spans="1:18" s="9" customFormat="1" ht="125.25" customHeight="1">
      <c r="A38" s="39">
        <v>812</v>
      </c>
      <c r="B38" s="39" t="s">
        <v>161</v>
      </c>
      <c r="C38" s="40" t="s">
        <v>156</v>
      </c>
      <c r="D38" s="49" t="s">
        <v>342</v>
      </c>
      <c r="E38" s="50"/>
      <c r="F38" s="42" t="s">
        <v>222</v>
      </c>
      <c r="G38" s="43">
        <v>41635</v>
      </c>
      <c r="H38" s="42" t="s">
        <v>9</v>
      </c>
      <c r="I38" s="56" t="s">
        <v>155</v>
      </c>
      <c r="J38" s="56" t="s">
        <v>223</v>
      </c>
      <c r="K38" s="56" t="s">
        <v>164</v>
      </c>
      <c r="L38" s="42">
        <v>200</v>
      </c>
      <c r="M38" s="57">
        <v>471</v>
      </c>
      <c r="N38" s="57">
        <v>0</v>
      </c>
      <c r="O38" s="57">
        <f>5000-355.13-1185.2-695.9-597.6-501.507+22.2-220-313.3+37.4+212.66556+642.54521+32.55037</f>
        <v>2078.7241400000003</v>
      </c>
      <c r="P38" s="57">
        <v>5000</v>
      </c>
      <c r="Q38" s="39" t="s">
        <v>140</v>
      </c>
      <c r="R38" s="46"/>
    </row>
    <row r="39" spans="1:18" s="9" customFormat="1" ht="56.25" customHeight="1">
      <c r="A39" s="77"/>
      <c r="B39" s="77"/>
      <c r="C39" s="78"/>
      <c r="D39" s="49" t="s">
        <v>561</v>
      </c>
      <c r="E39" s="50"/>
      <c r="F39" s="42" t="s">
        <v>276</v>
      </c>
      <c r="G39" s="43">
        <v>43669</v>
      </c>
      <c r="H39" s="43">
        <v>43830</v>
      </c>
      <c r="I39" s="56" t="s">
        <v>150</v>
      </c>
      <c r="J39" s="44" t="s">
        <v>592</v>
      </c>
      <c r="K39" s="56" t="s">
        <v>164</v>
      </c>
      <c r="L39" s="42">
        <v>200</v>
      </c>
      <c r="M39" s="57">
        <v>0</v>
      </c>
      <c r="N39" s="57">
        <v>0</v>
      </c>
      <c r="O39" s="57">
        <v>220</v>
      </c>
      <c r="P39" s="57">
        <v>0</v>
      </c>
      <c r="Q39" s="77"/>
      <c r="R39" s="46"/>
    </row>
    <row r="40" spans="1:18" s="9" customFormat="1" ht="138" customHeight="1">
      <c r="A40" s="77"/>
      <c r="B40" s="77"/>
      <c r="C40" s="78"/>
      <c r="D40" s="49" t="s">
        <v>593</v>
      </c>
      <c r="E40" s="50"/>
      <c r="F40" s="42" t="s">
        <v>276</v>
      </c>
      <c r="G40" s="43" t="s">
        <v>594</v>
      </c>
      <c r="H40" s="43">
        <v>43830</v>
      </c>
      <c r="I40" s="56" t="s">
        <v>110</v>
      </c>
      <c r="J40" s="62"/>
      <c r="K40" s="56" t="s">
        <v>164</v>
      </c>
      <c r="L40" s="42">
        <v>242</v>
      </c>
      <c r="M40" s="57">
        <v>0</v>
      </c>
      <c r="N40" s="57">
        <v>0</v>
      </c>
      <c r="O40" s="57">
        <f>695.9+597.6-22.2-212.66556+313.3-32.55037</f>
        <v>1339.38407</v>
      </c>
      <c r="P40" s="57">
        <v>0</v>
      </c>
      <c r="Q40" s="77"/>
      <c r="R40" s="46"/>
    </row>
    <row r="41" spans="1:18" s="9" customFormat="1" ht="93" customHeight="1">
      <c r="A41" s="77"/>
      <c r="B41" s="77"/>
      <c r="C41" s="78"/>
      <c r="D41" s="49" t="s">
        <v>595</v>
      </c>
      <c r="E41" s="83"/>
      <c r="F41" s="42" t="s">
        <v>276</v>
      </c>
      <c r="G41" s="43" t="s">
        <v>543</v>
      </c>
      <c r="H41" s="43">
        <v>43830</v>
      </c>
      <c r="I41" s="56" t="s">
        <v>112</v>
      </c>
      <c r="J41" s="62"/>
      <c r="K41" s="56" t="s">
        <v>164</v>
      </c>
      <c r="L41" s="42">
        <v>242</v>
      </c>
      <c r="M41" s="57">
        <v>0</v>
      </c>
      <c r="N41" s="57">
        <v>0</v>
      </c>
      <c r="O41" s="57">
        <f>1185.2-37.4-1147.85008+1031.13614</f>
        <v>1031.08606</v>
      </c>
      <c r="P41" s="57">
        <v>0</v>
      </c>
      <c r="Q41" s="77"/>
      <c r="R41" s="46"/>
    </row>
    <row r="42" spans="1:18" s="9" customFormat="1" ht="57" customHeight="1">
      <c r="A42" s="77"/>
      <c r="B42" s="77"/>
      <c r="C42" s="78"/>
      <c r="D42" s="49" t="s">
        <v>544</v>
      </c>
      <c r="E42" s="50"/>
      <c r="F42" s="42" t="s">
        <v>497</v>
      </c>
      <c r="G42" s="43">
        <v>43580</v>
      </c>
      <c r="H42" s="43">
        <v>43830</v>
      </c>
      <c r="I42" s="56" t="s">
        <v>146</v>
      </c>
      <c r="J42" s="62"/>
      <c r="K42" s="56" t="s">
        <v>159</v>
      </c>
      <c r="L42" s="42">
        <v>300</v>
      </c>
      <c r="M42" s="57">
        <v>0</v>
      </c>
      <c r="N42" s="57">
        <v>0</v>
      </c>
      <c r="O42" s="57">
        <f>501.507-501.507</f>
        <v>0</v>
      </c>
      <c r="P42" s="57">
        <v>0</v>
      </c>
      <c r="Q42" s="77"/>
      <c r="R42" s="46"/>
    </row>
    <row r="43" spans="1:18" s="9" customFormat="1" ht="62.25" customHeight="1">
      <c r="A43" s="77"/>
      <c r="B43" s="77"/>
      <c r="C43" s="78"/>
      <c r="D43" s="49" t="s">
        <v>496</v>
      </c>
      <c r="E43" s="50"/>
      <c r="F43" s="42" t="s">
        <v>497</v>
      </c>
      <c r="G43" s="43">
        <v>43454</v>
      </c>
      <c r="H43" s="43">
        <v>43830</v>
      </c>
      <c r="I43" s="56" t="s">
        <v>115</v>
      </c>
      <c r="J43" s="62"/>
      <c r="K43" s="56" t="s">
        <v>126</v>
      </c>
      <c r="L43" s="42">
        <v>200</v>
      </c>
      <c r="M43" s="57">
        <v>0</v>
      </c>
      <c r="N43" s="57">
        <v>0</v>
      </c>
      <c r="O43" s="57">
        <f>355.13-355.12896+330.80469</f>
        <v>330.80573</v>
      </c>
      <c r="P43" s="57">
        <v>0</v>
      </c>
      <c r="Q43" s="47"/>
      <c r="R43" s="46"/>
    </row>
    <row r="44" spans="1:19" s="9" customFormat="1" ht="51" customHeight="1">
      <c r="A44" s="53" t="s">
        <v>427</v>
      </c>
      <c r="B44" s="53" t="s">
        <v>107</v>
      </c>
      <c r="C44" s="84" t="s">
        <v>380</v>
      </c>
      <c r="D44" s="84" t="s">
        <v>330</v>
      </c>
      <c r="E44" s="84"/>
      <c r="F44" s="39" t="s">
        <v>271</v>
      </c>
      <c r="G44" s="76">
        <v>40256</v>
      </c>
      <c r="H44" s="39" t="s">
        <v>9</v>
      </c>
      <c r="I44" s="44" t="s">
        <v>153</v>
      </c>
      <c r="J44" s="44" t="s">
        <v>445</v>
      </c>
      <c r="K44" s="56" t="s">
        <v>159</v>
      </c>
      <c r="L44" s="42">
        <v>200</v>
      </c>
      <c r="M44" s="57">
        <v>1134.3</v>
      </c>
      <c r="N44" s="57">
        <v>1053</v>
      </c>
      <c r="O44" s="57">
        <v>1854.5</v>
      </c>
      <c r="P44" s="57">
        <f>O44*1.04</f>
        <v>1928.68</v>
      </c>
      <c r="Q44" s="39" t="s">
        <v>140</v>
      </c>
      <c r="R44" s="46"/>
      <c r="S44" s="85"/>
    </row>
    <row r="45" spans="1:19" s="9" customFormat="1" ht="51" customHeight="1">
      <c r="A45" s="53"/>
      <c r="B45" s="53"/>
      <c r="C45" s="84"/>
      <c r="D45" s="84"/>
      <c r="E45" s="84"/>
      <c r="F45" s="47"/>
      <c r="G45" s="82"/>
      <c r="H45" s="47"/>
      <c r="I45" s="51"/>
      <c r="J45" s="51"/>
      <c r="K45" s="56" t="s">
        <v>581</v>
      </c>
      <c r="L45" s="42">
        <v>200</v>
      </c>
      <c r="M45" s="57">
        <v>0</v>
      </c>
      <c r="N45" s="57">
        <v>0</v>
      </c>
      <c r="O45" s="57">
        <v>35</v>
      </c>
      <c r="P45" s="57">
        <v>0</v>
      </c>
      <c r="Q45" s="47"/>
      <c r="R45" s="46"/>
      <c r="S45" s="85"/>
    </row>
    <row r="46" spans="1:18" s="9" customFormat="1" ht="36.75" customHeight="1">
      <c r="A46" s="53" t="s">
        <v>444</v>
      </c>
      <c r="B46" s="53" t="s">
        <v>53</v>
      </c>
      <c r="C46" s="41" t="s">
        <v>405</v>
      </c>
      <c r="D46" s="75" t="s">
        <v>311</v>
      </c>
      <c r="E46" s="54"/>
      <c r="F46" s="39" t="s">
        <v>270</v>
      </c>
      <c r="G46" s="53" t="s">
        <v>303</v>
      </c>
      <c r="H46" s="53" t="s">
        <v>9</v>
      </c>
      <c r="I46" s="63" t="s">
        <v>153</v>
      </c>
      <c r="J46" s="63" t="s">
        <v>315</v>
      </c>
      <c r="K46" s="56" t="s">
        <v>163</v>
      </c>
      <c r="L46" s="42">
        <v>200</v>
      </c>
      <c r="M46" s="57">
        <v>6540.4</v>
      </c>
      <c r="N46" s="57">
        <v>6536.9</v>
      </c>
      <c r="O46" s="57">
        <f>6104.7+2944.2</f>
        <v>9048.9</v>
      </c>
      <c r="P46" s="57">
        <f aca="true" t="shared" si="0" ref="P46:P51">O46</f>
        <v>9048.9</v>
      </c>
      <c r="Q46" s="53" t="s">
        <v>140</v>
      </c>
      <c r="R46" s="46"/>
    </row>
    <row r="47" spans="1:18" s="9" customFormat="1" ht="36.75" customHeight="1">
      <c r="A47" s="53"/>
      <c r="B47" s="53"/>
      <c r="C47" s="41"/>
      <c r="D47" s="81"/>
      <c r="E47" s="65"/>
      <c r="F47" s="47"/>
      <c r="G47" s="53"/>
      <c r="H47" s="53"/>
      <c r="I47" s="63"/>
      <c r="J47" s="63"/>
      <c r="K47" s="56" t="s">
        <v>159</v>
      </c>
      <c r="L47" s="42" t="s">
        <v>128</v>
      </c>
      <c r="M47" s="57">
        <v>452.5</v>
      </c>
      <c r="N47" s="57">
        <v>415.1</v>
      </c>
      <c r="O47" s="57">
        <v>497.8</v>
      </c>
      <c r="P47" s="57">
        <f>O47*1.04</f>
        <v>517.712</v>
      </c>
      <c r="Q47" s="61"/>
      <c r="R47" s="46"/>
    </row>
    <row r="48" spans="1:18" s="9" customFormat="1" ht="67.5" customHeight="1">
      <c r="A48" s="53"/>
      <c r="B48" s="53"/>
      <c r="C48" s="41"/>
      <c r="D48" s="75" t="s">
        <v>312</v>
      </c>
      <c r="E48" s="54"/>
      <c r="F48" s="69" t="s">
        <v>310</v>
      </c>
      <c r="G48" s="53"/>
      <c r="H48" s="53"/>
      <c r="I48" s="63"/>
      <c r="J48" s="63"/>
      <c r="K48" s="42">
        <v>800</v>
      </c>
      <c r="L48" s="42">
        <v>200</v>
      </c>
      <c r="M48" s="57">
        <v>3</v>
      </c>
      <c r="N48" s="57">
        <v>1.9</v>
      </c>
      <c r="O48" s="57">
        <v>26</v>
      </c>
      <c r="P48" s="57">
        <f>O48</f>
        <v>26</v>
      </c>
      <c r="Q48" s="61"/>
      <c r="R48" s="46"/>
    </row>
    <row r="49" spans="1:53" ht="25.5" customHeight="1">
      <c r="A49" s="53" t="s">
        <v>428</v>
      </c>
      <c r="B49" s="53" t="s">
        <v>108</v>
      </c>
      <c r="C49" s="41" t="s">
        <v>72</v>
      </c>
      <c r="D49" s="41" t="s">
        <v>224</v>
      </c>
      <c r="E49" s="41"/>
      <c r="F49" s="53" t="s">
        <v>267</v>
      </c>
      <c r="G49" s="55">
        <v>40887</v>
      </c>
      <c r="H49" s="53" t="s">
        <v>9</v>
      </c>
      <c r="I49" s="63" t="s">
        <v>153</v>
      </c>
      <c r="J49" s="63" t="s">
        <v>225</v>
      </c>
      <c r="K49" s="56" t="s">
        <v>163</v>
      </c>
      <c r="L49" s="42">
        <v>200</v>
      </c>
      <c r="M49" s="57">
        <v>5071.7</v>
      </c>
      <c r="N49" s="57">
        <v>5071.6</v>
      </c>
      <c r="O49" s="57">
        <v>5097.8</v>
      </c>
      <c r="P49" s="57">
        <f t="shared" si="0"/>
        <v>5097.8</v>
      </c>
      <c r="Q49" s="53" t="s">
        <v>140</v>
      </c>
      <c r="R49" s="46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ht="33.75" customHeight="1">
      <c r="A50" s="53"/>
      <c r="B50" s="53"/>
      <c r="C50" s="41"/>
      <c r="D50" s="41"/>
      <c r="E50" s="41"/>
      <c r="F50" s="61"/>
      <c r="G50" s="55"/>
      <c r="H50" s="53"/>
      <c r="I50" s="63"/>
      <c r="J50" s="63"/>
      <c r="K50" s="56" t="s">
        <v>159</v>
      </c>
      <c r="L50" s="42" t="s">
        <v>128</v>
      </c>
      <c r="M50" s="57">
        <v>960.8</v>
      </c>
      <c r="N50" s="57">
        <v>951.5</v>
      </c>
      <c r="O50" s="57">
        <v>1010.7</v>
      </c>
      <c r="P50" s="57">
        <f>O50*1.04</f>
        <v>1051.1280000000002</v>
      </c>
      <c r="Q50" s="53"/>
      <c r="R50" s="46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ht="30.75" customHeight="1">
      <c r="A51" s="53"/>
      <c r="B51" s="53"/>
      <c r="C51" s="41"/>
      <c r="D51" s="41"/>
      <c r="E51" s="41"/>
      <c r="F51" s="61"/>
      <c r="G51" s="53"/>
      <c r="H51" s="53"/>
      <c r="I51" s="63"/>
      <c r="J51" s="63"/>
      <c r="K51" s="56" t="s">
        <v>164</v>
      </c>
      <c r="L51" s="42">
        <v>200</v>
      </c>
      <c r="M51" s="57">
        <v>5.5</v>
      </c>
      <c r="N51" s="57">
        <v>0.6</v>
      </c>
      <c r="O51" s="57">
        <v>5.5</v>
      </c>
      <c r="P51" s="57">
        <f t="shared" si="0"/>
        <v>5.5</v>
      </c>
      <c r="Q51" s="53"/>
      <c r="R51" s="46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ht="15.75" customHeight="1">
      <c r="A52" s="53" t="s">
        <v>450</v>
      </c>
      <c r="B52" s="53" t="s">
        <v>2</v>
      </c>
      <c r="C52" s="41" t="s">
        <v>162</v>
      </c>
      <c r="D52" s="41" t="s">
        <v>235</v>
      </c>
      <c r="E52" s="41"/>
      <c r="F52" s="53" t="s">
        <v>267</v>
      </c>
      <c r="G52" s="55">
        <v>40883</v>
      </c>
      <c r="H52" s="53" t="s">
        <v>9</v>
      </c>
      <c r="I52" s="63" t="s">
        <v>118</v>
      </c>
      <c r="J52" s="63" t="s">
        <v>396</v>
      </c>
      <c r="K52" s="56" t="s">
        <v>163</v>
      </c>
      <c r="L52" s="39">
        <v>200</v>
      </c>
      <c r="M52" s="57">
        <f>7768.01851+585.7-70</f>
        <v>8283.71851</v>
      </c>
      <c r="N52" s="57">
        <v>8263.9</v>
      </c>
      <c r="O52" s="57">
        <v>8082.6</v>
      </c>
      <c r="P52" s="57">
        <f aca="true" t="shared" si="1" ref="P52:P59">O52</f>
        <v>8082.6</v>
      </c>
      <c r="Q52" s="53" t="s">
        <v>140</v>
      </c>
      <c r="R52" s="46"/>
      <c r="S52" s="1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ht="15.75" customHeight="1">
      <c r="A53" s="53"/>
      <c r="B53" s="53"/>
      <c r="C53" s="41"/>
      <c r="D53" s="41"/>
      <c r="E53" s="41"/>
      <c r="F53" s="61"/>
      <c r="G53" s="53"/>
      <c r="H53" s="53"/>
      <c r="I53" s="63"/>
      <c r="J53" s="63"/>
      <c r="K53" s="56" t="s">
        <v>159</v>
      </c>
      <c r="L53" s="86"/>
      <c r="M53" s="57">
        <f>2119.1-146.8-424.5</f>
        <v>1547.8</v>
      </c>
      <c r="N53" s="57">
        <v>1427.5</v>
      </c>
      <c r="O53" s="57">
        <v>1138</v>
      </c>
      <c r="P53" s="57">
        <f t="shared" si="1"/>
        <v>1138</v>
      </c>
      <c r="Q53" s="53"/>
      <c r="R53" s="46"/>
      <c r="S53" s="1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ht="15.75" customHeight="1">
      <c r="A54" s="53"/>
      <c r="B54" s="53"/>
      <c r="C54" s="41"/>
      <c r="D54" s="41"/>
      <c r="E54" s="41"/>
      <c r="F54" s="61"/>
      <c r="G54" s="53"/>
      <c r="H54" s="53"/>
      <c r="I54" s="63"/>
      <c r="J54" s="63"/>
      <c r="K54" s="56" t="s">
        <v>165</v>
      </c>
      <c r="L54" s="86"/>
      <c r="M54" s="57">
        <f>367.12-153.7</f>
        <v>213.42000000000002</v>
      </c>
      <c r="N54" s="57">
        <f>367.12-153.7</f>
        <v>213.42000000000002</v>
      </c>
      <c r="O54" s="57">
        <v>0</v>
      </c>
      <c r="P54" s="57">
        <f t="shared" si="1"/>
        <v>0</v>
      </c>
      <c r="Q54" s="53"/>
      <c r="R54" s="46"/>
      <c r="S54" s="1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5.75" customHeight="1">
      <c r="A55" s="53"/>
      <c r="B55" s="53"/>
      <c r="C55" s="41"/>
      <c r="D55" s="41"/>
      <c r="E55" s="41"/>
      <c r="F55" s="61"/>
      <c r="G55" s="53"/>
      <c r="H55" s="53"/>
      <c r="I55" s="63"/>
      <c r="J55" s="63"/>
      <c r="K55" s="56" t="s">
        <v>164</v>
      </c>
      <c r="L55" s="87"/>
      <c r="M55" s="57">
        <f>16-7.5</f>
        <v>8.5</v>
      </c>
      <c r="N55" s="57">
        <v>6.8</v>
      </c>
      <c r="O55" s="57">
        <v>24.8</v>
      </c>
      <c r="P55" s="57">
        <f t="shared" si="1"/>
        <v>24.8</v>
      </c>
      <c r="Q55" s="53"/>
      <c r="R55" s="46"/>
      <c r="S55" s="1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ht="15.75" customHeight="1">
      <c r="A56" s="53"/>
      <c r="B56" s="53"/>
      <c r="C56" s="41"/>
      <c r="D56" s="41"/>
      <c r="E56" s="41"/>
      <c r="F56" s="61"/>
      <c r="G56" s="53"/>
      <c r="H56" s="53"/>
      <c r="I56" s="63"/>
      <c r="J56" s="63"/>
      <c r="K56" s="56" t="s">
        <v>159</v>
      </c>
      <c r="L56" s="42">
        <v>300</v>
      </c>
      <c r="M56" s="57">
        <v>146.8</v>
      </c>
      <c r="N56" s="57">
        <v>143</v>
      </c>
      <c r="O56" s="57">
        <v>819.1</v>
      </c>
      <c r="P56" s="57">
        <f t="shared" si="1"/>
        <v>819.1</v>
      </c>
      <c r="Q56" s="53"/>
      <c r="R56" s="46"/>
      <c r="S56" s="1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ht="33.75" customHeight="1">
      <c r="A57" s="39" t="s">
        <v>552</v>
      </c>
      <c r="B57" s="39" t="s">
        <v>16</v>
      </c>
      <c r="C57" s="40" t="s">
        <v>451</v>
      </c>
      <c r="D57" s="71" t="s">
        <v>331</v>
      </c>
      <c r="E57" s="72"/>
      <c r="F57" s="39" t="s">
        <v>332</v>
      </c>
      <c r="G57" s="76">
        <v>43101</v>
      </c>
      <c r="H57" s="76">
        <v>43830</v>
      </c>
      <c r="I57" s="44" t="s">
        <v>118</v>
      </c>
      <c r="J57" s="44" t="s">
        <v>397</v>
      </c>
      <c r="K57" s="56" t="s">
        <v>159</v>
      </c>
      <c r="L57" s="39">
        <v>200</v>
      </c>
      <c r="M57" s="57">
        <v>773.9</v>
      </c>
      <c r="N57" s="57">
        <v>770.4</v>
      </c>
      <c r="O57" s="57">
        <f>653-8+13.4</f>
        <v>658.4</v>
      </c>
      <c r="P57" s="57">
        <f t="shared" si="1"/>
        <v>658.4</v>
      </c>
      <c r="Q57" s="39" t="s">
        <v>135</v>
      </c>
      <c r="R57" s="46"/>
      <c r="S57" s="1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ht="33.75" customHeight="1">
      <c r="A58" s="77"/>
      <c r="B58" s="77"/>
      <c r="C58" s="78"/>
      <c r="D58" s="88"/>
      <c r="E58" s="89"/>
      <c r="F58" s="77"/>
      <c r="G58" s="80"/>
      <c r="H58" s="80"/>
      <c r="I58" s="62"/>
      <c r="J58" s="62"/>
      <c r="K58" s="56" t="s">
        <v>165</v>
      </c>
      <c r="L58" s="47"/>
      <c r="M58" s="57">
        <f>633.8-66</f>
        <v>567.8</v>
      </c>
      <c r="N58" s="57">
        <v>566.2</v>
      </c>
      <c r="O58" s="57">
        <f>1002.6-785.1-13.4</f>
        <v>204.1</v>
      </c>
      <c r="P58" s="57">
        <f t="shared" si="1"/>
        <v>204.1</v>
      </c>
      <c r="Q58" s="77"/>
      <c r="R58" s="46"/>
      <c r="S58" s="1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ht="33.75" customHeight="1">
      <c r="A59" s="77"/>
      <c r="B59" s="77"/>
      <c r="C59" s="78"/>
      <c r="D59" s="90"/>
      <c r="E59" s="91"/>
      <c r="F59" s="47"/>
      <c r="G59" s="82"/>
      <c r="H59" s="80"/>
      <c r="I59" s="62"/>
      <c r="J59" s="62"/>
      <c r="K59" s="56" t="s">
        <v>159</v>
      </c>
      <c r="L59" s="42">
        <v>300</v>
      </c>
      <c r="M59" s="57">
        <v>49.8</v>
      </c>
      <c r="N59" s="57">
        <v>49.7</v>
      </c>
      <c r="O59" s="57">
        <v>51.9</v>
      </c>
      <c r="P59" s="57">
        <f t="shared" si="1"/>
        <v>51.9</v>
      </c>
      <c r="Q59" s="77"/>
      <c r="R59" s="46"/>
      <c r="S59" s="1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ht="90.75" customHeight="1">
      <c r="A60" s="47"/>
      <c r="B60" s="47"/>
      <c r="C60" s="48"/>
      <c r="D60" s="92" t="s">
        <v>553</v>
      </c>
      <c r="E60" s="93"/>
      <c r="F60" s="42" t="s">
        <v>554</v>
      </c>
      <c r="G60" s="43">
        <v>43644</v>
      </c>
      <c r="H60" s="82"/>
      <c r="I60" s="51"/>
      <c r="J60" s="51"/>
      <c r="K60" s="56" t="s">
        <v>164</v>
      </c>
      <c r="L60" s="42">
        <v>200</v>
      </c>
      <c r="M60" s="57">
        <v>0</v>
      </c>
      <c r="N60" s="57">
        <v>0</v>
      </c>
      <c r="O60" s="57">
        <v>793.1</v>
      </c>
      <c r="P60" s="57">
        <v>793.1</v>
      </c>
      <c r="Q60" s="47"/>
      <c r="R60" s="46"/>
      <c r="S60" s="1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ht="87.75" customHeight="1">
      <c r="A61" s="53">
        <v>812</v>
      </c>
      <c r="B61" s="53" t="s">
        <v>17</v>
      </c>
      <c r="C61" s="41" t="s">
        <v>317</v>
      </c>
      <c r="D61" s="41" t="s">
        <v>236</v>
      </c>
      <c r="E61" s="41"/>
      <c r="F61" s="42" t="s">
        <v>189</v>
      </c>
      <c r="G61" s="55">
        <v>40903</v>
      </c>
      <c r="H61" s="53" t="s">
        <v>9</v>
      </c>
      <c r="I61" s="44" t="s">
        <v>151</v>
      </c>
      <c r="J61" s="63" t="s">
        <v>229</v>
      </c>
      <c r="K61" s="63" t="s">
        <v>126</v>
      </c>
      <c r="L61" s="53">
        <v>241</v>
      </c>
      <c r="M61" s="64">
        <v>5647</v>
      </c>
      <c r="N61" s="64">
        <v>5647</v>
      </c>
      <c r="O61" s="64">
        <f>6779.1-309.1+792.3</f>
        <v>7262.3</v>
      </c>
      <c r="P61" s="45">
        <v>6779.1</v>
      </c>
      <c r="Q61" s="53" t="s">
        <v>140</v>
      </c>
      <c r="R61" s="46"/>
      <c r="S61" s="1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ht="93" customHeight="1">
      <c r="A62" s="53"/>
      <c r="B62" s="53"/>
      <c r="C62" s="41"/>
      <c r="D62" s="41" t="s">
        <v>596</v>
      </c>
      <c r="E62" s="41"/>
      <c r="F62" s="42" t="s">
        <v>175</v>
      </c>
      <c r="G62" s="55"/>
      <c r="H62" s="53"/>
      <c r="I62" s="94"/>
      <c r="J62" s="63"/>
      <c r="K62" s="63"/>
      <c r="L62" s="53"/>
      <c r="M62" s="64"/>
      <c r="N62" s="64"/>
      <c r="O62" s="64"/>
      <c r="P62" s="52"/>
      <c r="Q62" s="53"/>
      <c r="R62" s="46"/>
      <c r="S62" s="1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ht="87" customHeight="1">
      <c r="A63" s="42">
        <v>812</v>
      </c>
      <c r="B63" s="42" t="s">
        <v>582</v>
      </c>
      <c r="C63" s="67" t="s">
        <v>583</v>
      </c>
      <c r="D63" s="41" t="s">
        <v>230</v>
      </c>
      <c r="E63" s="41"/>
      <c r="F63" s="42" t="s">
        <v>209</v>
      </c>
      <c r="G63" s="43">
        <v>43755</v>
      </c>
      <c r="H63" s="43">
        <v>43830</v>
      </c>
      <c r="I63" s="56" t="s">
        <v>151</v>
      </c>
      <c r="J63" s="56" t="s">
        <v>584</v>
      </c>
      <c r="K63" s="56" t="s">
        <v>126</v>
      </c>
      <c r="L63" s="42">
        <v>241</v>
      </c>
      <c r="M63" s="57">
        <v>0</v>
      </c>
      <c r="N63" s="57">
        <v>0</v>
      </c>
      <c r="O63" s="57">
        <v>1488.2</v>
      </c>
      <c r="P63" s="57">
        <v>0</v>
      </c>
      <c r="Q63" s="42" t="s">
        <v>140</v>
      </c>
      <c r="R63" s="46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ht="93" customHeight="1">
      <c r="A64" s="42" t="s">
        <v>431</v>
      </c>
      <c r="B64" s="42" t="s">
        <v>430</v>
      </c>
      <c r="C64" s="67" t="s">
        <v>287</v>
      </c>
      <c r="D64" s="49" t="s">
        <v>423</v>
      </c>
      <c r="E64" s="50"/>
      <c r="F64" s="42" t="s">
        <v>178</v>
      </c>
      <c r="G64" s="43">
        <v>43466</v>
      </c>
      <c r="H64" s="43">
        <v>43830</v>
      </c>
      <c r="I64" s="56" t="s">
        <v>109</v>
      </c>
      <c r="J64" s="56" t="s">
        <v>385</v>
      </c>
      <c r="K64" s="56" t="s">
        <v>159</v>
      </c>
      <c r="L64" s="42">
        <v>200</v>
      </c>
      <c r="M64" s="57">
        <v>55995.1</v>
      </c>
      <c r="N64" s="57">
        <v>55986</v>
      </c>
      <c r="O64" s="57">
        <f>156276.6+0.3</f>
        <v>156276.9</v>
      </c>
      <c r="P64" s="57">
        <v>45874.5</v>
      </c>
      <c r="Q64" s="42" t="s">
        <v>135</v>
      </c>
      <c r="R64" s="46"/>
      <c r="S64" s="1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111" customHeight="1">
      <c r="A65" s="42">
        <v>812</v>
      </c>
      <c r="B65" s="42" t="s">
        <v>567</v>
      </c>
      <c r="C65" s="95" t="s">
        <v>562</v>
      </c>
      <c r="D65" s="49" t="s">
        <v>563</v>
      </c>
      <c r="E65" s="96"/>
      <c r="F65" s="42" t="s">
        <v>568</v>
      </c>
      <c r="G65" s="43">
        <v>43147</v>
      </c>
      <c r="H65" s="43">
        <v>44196</v>
      </c>
      <c r="I65" s="56" t="s">
        <v>109</v>
      </c>
      <c r="J65" s="42">
        <v>2000713120</v>
      </c>
      <c r="K65" s="56" t="s">
        <v>164</v>
      </c>
      <c r="L65" s="42">
        <v>242</v>
      </c>
      <c r="M65" s="57">
        <v>0</v>
      </c>
      <c r="N65" s="57">
        <v>0</v>
      </c>
      <c r="O65" s="57">
        <v>43500</v>
      </c>
      <c r="P65" s="57">
        <v>0</v>
      </c>
      <c r="Q65" s="42"/>
      <c r="R65" s="46"/>
      <c r="S65" s="1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133.5" customHeight="1">
      <c r="A66" s="42">
        <v>812</v>
      </c>
      <c r="B66" s="42" t="s">
        <v>466</v>
      </c>
      <c r="C66" s="67" t="s">
        <v>424</v>
      </c>
      <c r="D66" s="41" t="s">
        <v>470</v>
      </c>
      <c r="E66" s="41"/>
      <c r="F66" s="42" t="s">
        <v>276</v>
      </c>
      <c r="G66" s="43">
        <v>43466</v>
      </c>
      <c r="H66" s="43">
        <v>43830</v>
      </c>
      <c r="I66" s="56" t="s">
        <v>419</v>
      </c>
      <c r="J66" s="42">
        <v>9900013200</v>
      </c>
      <c r="K66" s="74" t="s">
        <v>164</v>
      </c>
      <c r="L66" s="69">
        <v>242</v>
      </c>
      <c r="M66" s="97">
        <v>0</v>
      </c>
      <c r="N66" s="97">
        <v>0</v>
      </c>
      <c r="O66" s="97">
        <f>8000-8000</f>
        <v>0</v>
      </c>
      <c r="P66" s="97">
        <v>0</v>
      </c>
      <c r="Q66" s="42" t="s">
        <v>135</v>
      </c>
      <c r="R66" s="25"/>
      <c r="S66" s="1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93" customHeight="1">
      <c r="A67" s="42">
        <v>812</v>
      </c>
      <c r="B67" s="42" t="s">
        <v>530</v>
      </c>
      <c r="C67" s="67" t="s">
        <v>449</v>
      </c>
      <c r="D67" s="49" t="s">
        <v>542</v>
      </c>
      <c r="E67" s="50"/>
      <c r="F67" s="42" t="s">
        <v>537</v>
      </c>
      <c r="G67" s="43">
        <v>43466</v>
      </c>
      <c r="H67" s="43">
        <v>43830</v>
      </c>
      <c r="I67" s="56" t="s">
        <v>110</v>
      </c>
      <c r="J67" s="56" t="s">
        <v>386</v>
      </c>
      <c r="K67" s="56" t="s">
        <v>159</v>
      </c>
      <c r="L67" s="42">
        <v>200</v>
      </c>
      <c r="M67" s="57">
        <v>0</v>
      </c>
      <c r="N67" s="57">
        <v>0</v>
      </c>
      <c r="O67" s="57">
        <f>17000-17000</f>
        <v>0</v>
      </c>
      <c r="P67" s="57">
        <v>0</v>
      </c>
      <c r="Q67" s="42" t="s">
        <v>135</v>
      </c>
      <c r="R67" s="46"/>
      <c r="S67" s="1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43.5" customHeight="1">
      <c r="A68" s="39">
        <v>812</v>
      </c>
      <c r="B68" s="39" t="s">
        <v>18</v>
      </c>
      <c r="C68" s="98" t="s">
        <v>228</v>
      </c>
      <c r="D68" s="71" t="s">
        <v>269</v>
      </c>
      <c r="E68" s="72"/>
      <c r="F68" s="39" t="s">
        <v>271</v>
      </c>
      <c r="G68" s="76">
        <v>42370</v>
      </c>
      <c r="H68" s="76">
        <v>44196</v>
      </c>
      <c r="I68" s="44" t="s">
        <v>110</v>
      </c>
      <c r="J68" s="44" t="s">
        <v>365</v>
      </c>
      <c r="K68" s="56" t="s">
        <v>159</v>
      </c>
      <c r="L68" s="42">
        <v>200</v>
      </c>
      <c r="M68" s="57">
        <v>36.6</v>
      </c>
      <c r="N68" s="57">
        <f>201.8-9.1-156.1</f>
        <v>36.60000000000002</v>
      </c>
      <c r="O68" s="26">
        <v>0</v>
      </c>
      <c r="P68" s="26">
        <v>0</v>
      </c>
      <c r="Q68" s="42" t="s">
        <v>135</v>
      </c>
      <c r="R68" s="4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36" customHeight="1">
      <c r="A69" s="87"/>
      <c r="B69" s="87"/>
      <c r="C69" s="99"/>
      <c r="D69" s="100"/>
      <c r="E69" s="101"/>
      <c r="F69" s="87"/>
      <c r="G69" s="87"/>
      <c r="H69" s="87"/>
      <c r="I69" s="87"/>
      <c r="J69" s="87"/>
      <c r="K69" s="56" t="s">
        <v>159</v>
      </c>
      <c r="L69" s="69">
        <v>300</v>
      </c>
      <c r="M69" s="57">
        <v>55.2</v>
      </c>
      <c r="N69" s="57">
        <v>51</v>
      </c>
      <c r="O69" s="57">
        <f>150-30.6</f>
        <v>119.4</v>
      </c>
      <c r="P69" s="57">
        <v>150</v>
      </c>
      <c r="Q69" s="42" t="s">
        <v>135</v>
      </c>
      <c r="R69" s="46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56.25" customHeight="1">
      <c r="A70" s="42" t="s">
        <v>436</v>
      </c>
      <c r="B70" s="42" t="s">
        <v>31</v>
      </c>
      <c r="C70" s="67" t="s">
        <v>226</v>
      </c>
      <c r="D70" s="41" t="s">
        <v>227</v>
      </c>
      <c r="E70" s="102"/>
      <c r="F70" s="26" t="s">
        <v>268</v>
      </c>
      <c r="G70" s="43">
        <v>41312</v>
      </c>
      <c r="H70" s="42" t="s">
        <v>9</v>
      </c>
      <c r="I70" s="56" t="s">
        <v>110</v>
      </c>
      <c r="J70" s="56" t="s">
        <v>359</v>
      </c>
      <c r="K70" s="56" t="s">
        <v>159</v>
      </c>
      <c r="L70" s="42">
        <v>200</v>
      </c>
      <c r="M70" s="57">
        <v>352.1</v>
      </c>
      <c r="N70" s="57">
        <v>351.4</v>
      </c>
      <c r="O70" s="57">
        <v>353</v>
      </c>
      <c r="P70" s="57">
        <v>353</v>
      </c>
      <c r="Q70" s="42" t="s">
        <v>140</v>
      </c>
      <c r="R70" s="4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20.25" customHeight="1">
      <c r="A71" s="53">
        <v>812</v>
      </c>
      <c r="B71" s="53" t="s">
        <v>116</v>
      </c>
      <c r="C71" s="41" t="s">
        <v>132</v>
      </c>
      <c r="D71" s="84" t="s">
        <v>7</v>
      </c>
      <c r="E71" s="84"/>
      <c r="F71" s="53" t="s">
        <v>174</v>
      </c>
      <c r="G71" s="53" t="s">
        <v>8</v>
      </c>
      <c r="H71" s="53" t="s">
        <v>9</v>
      </c>
      <c r="I71" s="63" t="s">
        <v>110</v>
      </c>
      <c r="J71" s="63" t="s">
        <v>217</v>
      </c>
      <c r="K71" s="56" t="s">
        <v>163</v>
      </c>
      <c r="L71" s="42">
        <v>200</v>
      </c>
      <c r="M71" s="57">
        <v>17635.6</v>
      </c>
      <c r="N71" s="57">
        <v>17629.2</v>
      </c>
      <c r="O71" s="57">
        <f>17443.2-800+800</f>
        <v>17443.2</v>
      </c>
      <c r="P71" s="57">
        <f>O71</f>
        <v>17443.2</v>
      </c>
      <c r="Q71" s="53" t="s">
        <v>140</v>
      </c>
      <c r="R71" s="46"/>
      <c r="S71" s="1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20.25" customHeight="1">
      <c r="A72" s="53"/>
      <c r="B72" s="53"/>
      <c r="C72" s="41"/>
      <c r="D72" s="84"/>
      <c r="E72" s="84"/>
      <c r="F72" s="53"/>
      <c r="G72" s="53"/>
      <c r="H72" s="53"/>
      <c r="I72" s="63"/>
      <c r="J72" s="63"/>
      <c r="K72" s="56" t="s">
        <v>159</v>
      </c>
      <c r="L72" s="42">
        <v>200</v>
      </c>
      <c r="M72" s="57">
        <v>562.3</v>
      </c>
      <c r="N72" s="57">
        <v>556</v>
      </c>
      <c r="O72" s="57">
        <v>1328.9</v>
      </c>
      <c r="P72" s="57">
        <f>O72</f>
        <v>1328.9</v>
      </c>
      <c r="Q72" s="53"/>
      <c r="R72" s="46"/>
      <c r="S72" s="1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20.25" customHeight="1">
      <c r="A73" s="53"/>
      <c r="B73" s="53"/>
      <c r="C73" s="41"/>
      <c r="D73" s="84"/>
      <c r="E73" s="84"/>
      <c r="F73" s="53"/>
      <c r="G73" s="53"/>
      <c r="H73" s="53"/>
      <c r="I73" s="63"/>
      <c r="J73" s="63"/>
      <c r="K73" s="56" t="s">
        <v>159</v>
      </c>
      <c r="L73" s="42">
        <v>300</v>
      </c>
      <c r="M73" s="57">
        <v>398.2</v>
      </c>
      <c r="N73" s="57">
        <v>398.2</v>
      </c>
      <c r="O73" s="57">
        <v>517.2</v>
      </c>
      <c r="P73" s="57">
        <f>O73</f>
        <v>517.2</v>
      </c>
      <c r="Q73" s="53"/>
      <c r="R73" s="46"/>
      <c r="S73" s="1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20.25" customHeight="1">
      <c r="A74" s="53"/>
      <c r="B74" s="53"/>
      <c r="C74" s="41"/>
      <c r="D74" s="84"/>
      <c r="E74" s="84"/>
      <c r="F74" s="53"/>
      <c r="G74" s="53"/>
      <c r="H74" s="53"/>
      <c r="I74" s="63"/>
      <c r="J74" s="63"/>
      <c r="K74" s="56" t="s">
        <v>165</v>
      </c>
      <c r="L74" s="42">
        <v>200</v>
      </c>
      <c r="M74" s="57">
        <v>0</v>
      </c>
      <c r="N74" s="57">
        <f>66.3-66.3</f>
        <v>0</v>
      </c>
      <c r="O74" s="57">
        <v>0</v>
      </c>
      <c r="P74" s="57">
        <f>O74</f>
        <v>0</v>
      </c>
      <c r="Q74" s="53"/>
      <c r="R74" s="46"/>
      <c r="S74" s="1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20.25" customHeight="1">
      <c r="A75" s="53"/>
      <c r="B75" s="53"/>
      <c r="C75" s="41"/>
      <c r="D75" s="84"/>
      <c r="E75" s="84"/>
      <c r="F75" s="53"/>
      <c r="G75" s="53"/>
      <c r="H75" s="53"/>
      <c r="I75" s="63"/>
      <c r="J75" s="63"/>
      <c r="K75" s="56" t="s">
        <v>164</v>
      </c>
      <c r="L75" s="42">
        <v>200</v>
      </c>
      <c r="M75" s="57">
        <v>1.6</v>
      </c>
      <c r="N75" s="57">
        <v>0.8</v>
      </c>
      <c r="O75" s="57">
        <v>3.1</v>
      </c>
      <c r="P75" s="57">
        <f>O75</f>
        <v>3.1</v>
      </c>
      <c r="Q75" s="53"/>
      <c r="R75" s="46"/>
      <c r="S75" s="1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43.5" customHeight="1">
      <c r="A76" s="53">
        <v>812</v>
      </c>
      <c r="B76" s="53" t="s">
        <v>3</v>
      </c>
      <c r="C76" s="41" t="s">
        <v>127</v>
      </c>
      <c r="D76" s="84" t="s">
        <v>10</v>
      </c>
      <c r="E76" s="84"/>
      <c r="F76" s="53" t="s">
        <v>176</v>
      </c>
      <c r="G76" s="53" t="s">
        <v>11</v>
      </c>
      <c r="H76" s="53" t="s">
        <v>9</v>
      </c>
      <c r="I76" s="63" t="s">
        <v>110</v>
      </c>
      <c r="J76" s="63" t="s">
        <v>237</v>
      </c>
      <c r="K76" s="56" t="s">
        <v>163</v>
      </c>
      <c r="L76" s="42">
        <v>200</v>
      </c>
      <c r="M76" s="57">
        <v>66227.9</v>
      </c>
      <c r="N76" s="57">
        <v>66227.8</v>
      </c>
      <c r="O76" s="57">
        <f>67572.8+8.3-104.3-98.8</f>
        <v>67378</v>
      </c>
      <c r="P76" s="57">
        <v>67581.1</v>
      </c>
      <c r="Q76" s="53" t="s">
        <v>140</v>
      </c>
      <c r="R76" s="46"/>
      <c r="S76" s="1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43.5" customHeight="1">
      <c r="A77" s="53"/>
      <c r="B77" s="53"/>
      <c r="C77" s="41"/>
      <c r="D77" s="84"/>
      <c r="E77" s="84"/>
      <c r="F77" s="53"/>
      <c r="G77" s="53"/>
      <c r="H77" s="53"/>
      <c r="I77" s="63"/>
      <c r="J77" s="63"/>
      <c r="K77" s="56" t="s">
        <v>159</v>
      </c>
      <c r="L77" s="42" t="s">
        <v>128</v>
      </c>
      <c r="M77" s="57">
        <v>20382.7</v>
      </c>
      <c r="N77" s="57">
        <v>20360</v>
      </c>
      <c r="O77" s="57">
        <f>16698.7-8.3-93.2</f>
        <v>16597.2</v>
      </c>
      <c r="P77" s="57">
        <v>16690.4</v>
      </c>
      <c r="Q77" s="53"/>
      <c r="R77" s="46"/>
      <c r="S77" s="1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82.5" customHeight="1">
      <c r="A78" s="53"/>
      <c r="B78" s="53"/>
      <c r="C78" s="41"/>
      <c r="D78" s="84"/>
      <c r="E78" s="84"/>
      <c r="F78" s="53"/>
      <c r="G78" s="53"/>
      <c r="H78" s="53"/>
      <c r="I78" s="63"/>
      <c r="J78" s="53"/>
      <c r="K78" s="56" t="s">
        <v>164</v>
      </c>
      <c r="L78" s="42">
        <v>200</v>
      </c>
      <c r="M78" s="57">
        <v>406.7</v>
      </c>
      <c r="N78" s="57">
        <v>393.3</v>
      </c>
      <c r="O78" s="57">
        <f>287.5+82.1+22.2+192</f>
        <v>583.8</v>
      </c>
      <c r="P78" s="57">
        <v>287.5</v>
      </c>
      <c r="Q78" s="53"/>
      <c r="R78" s="46"/>
      <c r="S78" s="1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76.5" customHeight="1">
      <c r="A79" s="42">
        <v>812</v>
      </c>
      <c r="B79" s="42" t="s">
        <v>508</v>
      </c>
      <c r="C79" s="67" t="s">
        <v>509</v>
      </c>
      <c r="D79" s="92" t="s">
        <v>534</v>
      </c>
      <c r="E79" s="103"/>
      <c r="F79" s="26" t="s">
        <v>535</v>
      </c>
      <c r="G79" s="43" t="s">
        <v>597</v>
      </c>
      <c r="H79" s="43">
        <v>43830</v>
      </c>
      <c r="I79" s="56" t="s">
        <v>110</v>
      </c>
      <c r="J79" s="56" t="s">
        <v>510</v>
      </c>
      <c r="K79" s="56" t="s">
        <v>164</v>
      </c>
      <c r="L79" s="42">
        <v>242</v>
      </c>
      <c r="M79" s="57">
        <v>2091.6</v>
      </c>
      <c r="N79" s="57">
        <v>1753.4</v>
      </c>
      <c r="O79" s="57">
        <f>2860+5029.7</f>
        <v>7889.7</v>
      </c>
      <c r="P79" s="57">
        <v>0</v>
      </c>
      <c r="Q79" s="42" t="s">
        <v>140</v>
      </c>
      <c r="R79" s="46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21.75" customHeight="1">
      <c r="A80" s="53">
        <v>812</v>
      </c>
      <c r="B80" s="39" t="s">
        <v>4</v>
      </c>
      <c r="C80" s="41" t="s">
        <v>284</v>
      </c>
      <c r="D80" s="71" t="s">
        <v>285</v>
      </c>
      <c r="E80" s="104"/>
      <c r="F80" s="53" t="s">
        <v>175</v>
      </c>
      <c r="G80" s="55">
        <v>42736</v>
      </c>
      <c r="H80" s="76">
        <v>43830</v>
      </c>
      <c r="I80" s="63" t="s">
        <v>110</v>
      </c>
      <c r="J80" s="53" t="s">
        <v>238</v>
      </c>
      <c r="K80" s="74" t="s">
        <v>159</v>
      </c>
      <c r="L80" s="42" t="s">
        <v>128</v>
      </c>
      <c r="M80" s="57">
        <v>135</v>
      </c>
      <c r="N80" s="57">
        <f>70+65</f>
        <v>135</v>
      </c>
      <c r="O80" s="57">
        <v>70</v>
      </c>
      <c r="P80" s="57">
        <f>O80</f>
        <v>70</v>
      </c>
      <c r="Q80" s="53" t="s">
        <v>135</v>
      </c>
      <c r="R80" s="25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ht="21.75" customHeight="1">
      <c r="A81" s="53"/>
      <c r="B81" s="77"/>
      <c r="C81" s="41"/>
      <c r="D81" s="105"/>
      <c r="E81" s="106"/>
      <c r="F81" s="61"/>
      <c r="G81" s="53"/>
      <c r="H81" s="107"/>
      <c r="I81" s="63"/>
      <c r="J81" s="53"/>
      <c r="K81" s="56" t="s">
        <v>126</v>
      </c>
      <c r="L81" s="42">
        <v>200</v>
      </c>
      <c r="M81" s="57">
        <v>56.2</v>
      </c>
      <c r="N81" s="57">
        <v>55.2</v>
      </c>
      <c r="O81" s="57">
        <v>56</v>
      </c>
      <c r="P81" s="57">
        <f>O81</f>
        <v>56</v>
      </c>
      <c r="Q81" s="53"/>
      <c r="R81" s="46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ht="21.75" customHeight="1">
      <c r="A82" s="53"/>
      <c r="B82" s="47"/>
      <c r="C82" s="41"/>
      <c r="D82" s="108"/>
      <c r="E82" s="109"/>
      <c r="F82" s="61"/>
      <c r="G82" s="53"/>
      <c r="H82" s="94"/>
      <c r="I82" s="63"/>
      <c r="J82" s="53"/>
      <c r="K82" s="56" t="s">
        <v>164</v>
      </c>
      <c r="L82" s="42">
        <v>200</v>
      </c>
      <c r="M82" s="57">
        <v>122.8</v>
      </c>
      <c r="N82" s="57">
        <f>351-228.2</f>
        <v>122.80000000000001</v>
      </c>
      <c r="O82" s="57">
        <v>351</v>
      </c>
      <c r="P82" s="57">
        <f>O82</f>
        <v>351</v>
      </c>
      <c r="Q82" s="53"/>
      <c r="R82" s="46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ht="76.5" customHeight="1">
      <c r="A83" s="42">
        <v>812</v>
      </c>
      <c r="B83" s="42" t="s">
        <v>511</v>
      </c>
      <c r="C83" s="67" t="s">
        <v>512</v>
      </c>
      <c r="D83" s="92" t="s">
        <v>426</v>
      </c>
      <c r="E83" s="93"/>
      <c r="F83" s="42" t="s">
        <v>288</v>
      </c>
      <c r="G83" s="43">
        <v>43466</v>
      </c>
      <c r="H83" s="43">
        <v>43830</v>
      </c>
      <c r="I83" s="43" t="s">
        <v>111</v>
      </c>
      <c r="J83" s="43" t="s">
        <v>513</v>
      </c>
      <c r="K83" s="43" t="s">
        <v>164</v>
      </c>
      <c r="L83" s="42">
        <v>242</v>
      </c>
      <c r="M83" s="57">
        <v>8942</v>
      </c>
      <c r="N83" s="57">
        <v>8941.7</v>
      </c>
      <c r="O83" s="57">
        <f>8771-8771</f>
        <v>0</v>
      </c>
      <c r="P83" s="57">
        <v>0</v>
      </c>
      <c r="Q83" s="42" t="s">
        <v>140</v>
      </c>
      <c r="R83" s="46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ht="86.25" customHeight="1">
      <c r="A84" s="42">
        <v>812</v>
      </c>
      <c r="B84" s="42" t="s">
        <v>12</v>
      </c>
      <c r="C84" s="67" t="s">
        <v>449</v>
      </c>
      <c r="D84" s="92" t="s">
        <v>423</v>
      </c>
      <c r="E84" s="93"/>
      <c r="F84" s="42" t="s">
        <v>178</v>
      </c>
      <c r="G84" s="43">
        <v>43466</v>
      </c>
      <c r="H84" s="43">
        <v>43830</v>
      </c>
      <c r="I84" s="56" t="s">
        <v>111</v>
      </c>
      <c r="J84" s="56" t="s">
        <v>386</v>
      </c>
      <c r="K84" s="56" t="s">
        <v>159</v>
      </c>
      <c r="L84" s="42">
        <v>200</v>
      </c>
      <c r="M84" s="57">
        <v>6589.5</v>
      </c>
      <c r="N84" s="57">
        <v>6582.3</v>
      </c>
      <c r="O84" s="57">
        <f>9625-9625</f>
        <v>0</v>
      </c>
      <c r="P84" s="57">
        <f>O84</f>
        <v>0</v>
      </c>
      <c r="Q84" s="42" t="s">
        <v>135</v>
      </c>
      <c r="R84" s="46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ht="27" customHeight="1">
      <c r="A85" s="53">
        <v>812</v>
      </c>
      <c r="B85" s="53" t="s">
        <v>19</v>
      </c>
      <c r="C85" s="41" t="s">
        <v>30</v>
      </c>
      <c r="D85" s="41" t="s">
        <v>179</v>
      </c>
      <c r="E85" s="41"/>
      <c r="F85" s="42" t="s">
        <v>180</v>
      </c>
      <c r="G85" s="55">
        <v>34700</v>
      </c>
      <c r="H85" s="53" t="s">
        <v>9</v>
      </c>
      <c r="I85" s="63" t="s">
        <v>111</v>
      </c>
      <c r="J85" s="39">
        <v>2000613050</v>
      </c>
      <c r="K85" s="63" t="s">
        <v>164</v>
      </c>
      <c r="L85" s="53">
        <v>242</v>
      </c>
      <c r="M85" s="45">
        <v>472</v>
      </c>
      <c r="N85" s="64">
        <v>415</v>
      </c>
      <c r="O85" s="64">
        <f>374.1+153.5</f>
        <v>527.6</v>
      </c>
      <c r="P85" s="64">
        <f>O85</f>
        <v>527.6</v>
      </c>
      <c r="Q85" s="53" t="s">
        <v>140</v>
      </c>
      <c r="R85" s="46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ht="69.75" customHeight="1">
      <c r="A86" s="53"/>
      <c r="B86" s="53"/>
      <c r="C86" s="41"/>
      <c r="D86" s="41" t="s">
        <v>239</v>
      </c>
      <c r="E86" s="41"/>
      <c r="F86" s="42" t="s">
        <v>175</v>
      </c>
      <c r="G86" s="53"/>
      <c r="H86" s="53"/>
      <c r="I86" s="53"/>
      <c r="J86" s="47"/>
      <c r="K86" s="53"/>
      <c r="L86" s="53"/>
      <c r="M86" s="52"/>
      <c r="N86" s="64"/>
      <c r="O86" s="64"/>
      <c r="P86" s="64"/>
      <c r="Q86" s="53"/>
      <c r="R86" s="46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ht="43.5" customHeight="1">
      <c r="A87" s="39">
        <v>812</v>
      </c>
      <c r="B87" s="39" t="s">
        <v>143</v>
      </c>
      <c r="C87" s="40" t="s">
        <v>129</v>
      </c>
      <c r="D87" s="75" t="s">
        <v>423</v>
      </c>
      <c r="E87" s="54"/>
      <c r="F87" s="39" t="s">
        <v>178</v>
      </c>
      <c r="G87" s="76">
        <v>43466</v>
      </c>
      <c r="H87" s="76">
        <v>43830</v>
      </c>
      <c r="I87" s="44" t="s">
        <v>111</v>
      </c>
      <c r="J87" s="44" t="s">
        <v>387</v>
      </c>
      <c r="K87" s="56" t="s">
        <v>159</v>
      </c>
      <c r="L87" s="56" t="s">
        <v>159</v>
      </c>
      <c r="M87" s="57">
        <v>143481.3</v>
      </c>
      <c r="N87" s="57">
        <v>143147.5</v>
      </c>
      <c r="O87" s="57">
        <f>113429.8-11219.9+27952+13198.7+9968.3-2040.3-1376-865.3</f>
        <v>149047.30000000002</v>
      </c>
      <c r="P87" s="57">
        <v>153328.9</v>
      </c>
      <c r="Q87" s="39" t="s">
        <v>135</v>
      </c>
      <c r="R87" s="46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ht="43.5" customHeight="1">
      <c r="A88" s="77"/>
      <c r="B88" s="77"/>
      <c r="C88" s="78"/>
      <c r="D88" s="79"/>
      <c r="E88" s="59"/>
      <c r="F88" s="77"/>
      <c r="G88" s="80"/>
      <c r="H88" s="80"/>
      <c r="I88" s="62"/>
      <c r="J88" s="62"/>
      <c r="K88" s="44" t="s">
        <v>283</v>
      </c>
      <c r="L88" s="110" t="s">
        <v>159</v>
      </c>
      <c r="M88" s="57">
        <v>0</v>
      </c>
      <c r="N88" s="57">
        <v>0</v>
      </c>
      <c r="O88" s="57">
        <v>268.2</v>
      </c>
      <c r="P88" s="57">
        <v>268.2</v>
      </c>
      <c r="Q88" s="77"/>
      <c r="R88" s="46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ht="58.5" customHeight="1">
      <c r="A89" s="47"/>
      <c r="B89" s="47"/>
      <c r="C89" s="48"/>
      <c r="D89" s="81"/>
      <c r="E89" s="65"/>
      <c r="F89" s="47"/>
      <c r="G89" s="82"/>
      <c r="H89" s="82"/>
      <c r="I89" s="51"/>
      <c r="J89" s="51"/>
      <c r="K89" s="87"/>
      <c r="L89" s="110" t="s">
        <v>165</v>
      </c>
      <c r="M89" s="57">
        <v>49870.3</v>
      </c>
      <c r="N89" s="57">
        <v>49727.2</v>
      </c>
      <c r="O89" s="57">
        <f>10643.1+2040.3</f>
        <v>12683.4</v>
      </c>
      <c r="P89" s="57">
        <v>10643.1</v>
      </c>
      <c r="Q89" s="47"/>
      <c r="R89" s="46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ht="72.75" customHeight="1">
      <c r="A90" s="42">
        <v>812</v>
      </c>
      <c r="B90" s="42" t="s">
        <v>29</v>
      </c>
      <c r="C90" s="67" t="s">
        <v>130</v>
      </c>
      <c r="D90" s="92" t="s">
        <v>56</v>
      </c>
      <c r="E90" s="93"/>
      <c r="F90" s="42" t="s">
        <v>177</v>
      </c>
      <c r="G90" s="43">
        <v>41640</v>
      </c>
      <c r="H90" s="43">
        <v>43830</v>
      </c>
      <c r="I90" s="56" t="s">
        <v>113</v>
      </c>
      <c r="J90" s="42" t="s">
        <v>388</v>
      </c>
      <c r="K90" s="56" t="s">
        <v>159</v>
      </c>
      <c r="L90" s="42">
        <v>200</v>
      </c>
      <c r="M90" s="57">
        <v>6782.7</v>
      </c>
      <c r="N90" s="57">
        <v>6782.7</v>
      </c>
      <c r="O90" s="57">
        <f>3768-3768+3768</f>
        <v>3768</v>
      </c>
      <c r="P90" s="57">
        <f>O90</f>
        <v>3768</v>
      </c>
      <c r="Q90" s="42" t="s">
        <v>135</v>
      </c>
      <c r="R90" s="46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ht="95.25" customHeight="1">
      <c r="A91" s="42">
        <v>812</v>
      </c>
      <c r="B91" s="69" t="s">
        <v>55</v>
      </c>
      <c r="C91" s="111" t="s">
        <v>57</v>
      </c>
      <c r="D91" s="75" t="s">
        <v>423</v>
      </c>
      <c r="E91" s="112"/>
      <c r="F91" s="69" t="s">
        <v>178</v>
      </c>
      <c r="G91" s="73">
        <v>43466</v>
      </c>
      <c r="H91" s="73">
        <v>43830</v>
      </c>
      <c r="I91" s="56" t="s">
        <v>112</v>
      </c>
      <c r="J91" s="56" t="s">
        <v>389</v>
      </c>
      <c r="K91" s="56" t="s">
        <v>159</v>
      </c>
      <c r="L91" s="69">
        <v>200</v>
      </c>
      <c r="M91" s="57">
        <v>30129.4</v>
      </c>
      <c r="N91" s="57">
        <v>30127.8</v>
      </c>
      <c r="O91" s="57">
        <f>37380.8-24299.9-642.9-1137.3</f>
        <v>11300.700000000003</v>
      </c>
      <c r="P91" s="57">
        <v>13080.9</v>
      </c>
      <c r="Q91" s="42" t="s">
        <v>135</v>
      </c>
      <c r="R91" s="46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ht="24.75" customHeight="1">
      <c r="A92" s="53">
        <v>812</v>
      </c>
      <c r="B92" s="53" t="s">
        <v>335</v>
      </c>
      <c r="C92" s="54" t="s">
        <v>57</v>
      </c>
      <c r="D92" s="75" t="s">
        <v>423</v>
      </c>
      <c r="E92" s="112"/>
      <c r="F92" s="39" t="s">
        <v>178</v>
      </c>
      <c r="G92" s="76">
        <v>43466</v>
      </c>
      <c r="H92" s="76">
        <v>43830</v>
      </c>
      <c r="I92" s="44" t="s">
        <v>112</v>
      </c>
      <c r="J92" s="44" t="s">
        <v>390</v>
      </c>
      <c r="K92" s="110" t="s">
        <v>159</v>
      </c>
      <c r="L92" s="69">
        <v>200</v>
      </c>
      <c r="M92" s="57">
        <v>371.8</v>
      </c>
      <c r="N92" s="57">
        <v>351.7</v>
      </c>
      <c r="O92" s="57">
        <f>6300.2-4456.8</f>
        <v>1843.3999999999996</v>
      </c>
      <c r="P92" s="57">
        <f>O92</f>
        <v>1843.3999999999996</v>
      </c>
      <c r="Q92" s="42" t="s">
        <v>135</v>
      </c>
      <c r="R92" s="46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ht="24.75" customHeight="1">
      <c r="A93" s="61"/>
      <c r="B93" s="61"/>
      <c r="C93" s="113"/>
      <c r="D93" s="114"/>
      <c r="E93" s="115"/>
      <c r="F93" s="77"/>
      <c r="G93" s="80"/>
      <c r="H93" s="80"/>
      <c r="I93" s="62"/>
      <c r="J93" s="62"/>
      <c r="K93" s="44" t="s">
        <v>283</v>
      </c>
      <c r="L93" s="69">
        <v>200</v>
      </c>
      <c r="M93" s="57">
        <v>708</v>
      </c>
      <c r="N93" s="57">
        <v>707.9</v>
      </c>
      <c r="O93" s="57">
        <v>0</v>
      </c>
      <c r="P93" s="57">
        <f>O93</f>
        <v>0</v>
      </c>
      <c r="Q93" s="39" t="s">
        <v>135</v>
      </c>
      <c r="R93" s="46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ht="36.75" customHeight="1">
      <c r="A94" s="61"/>
      <c r="B94" s="61"/>
      <c r="C94" s="116"/>
      <c r="D94" s="117"/>
      <c r="E94" s="118"/>
      <c r="F94" s="47"/>
      <c r="G94" s="82"/>
      <c r="H94" s="82"/>
      <c r="I94" s="51"/>
      <c r="J94" s="51"/>
      <c r="K94" s="51"/>
      <c r="L94" s="42">
        <v>300</v>
      </c>
      <c r="M94" s="57">
        <v>9347.8</v>
      </c>
      <c r="N94" s="57">
        <v>3254.7</v>
      </c>
      <c r="O94" s="57">
        <f>3160.1+6093.1+250+1125.6</f>
        <v>10628.800000000001</v>
      </c>
      <c r="P94" s="57">
        <v>9253.2</v>
      </c>
      <c r="Q94" s="87"/>
      <c r="R94" s="46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ht="102.75" customHeight="1">
      <c r="A95" s="42">
        <v>812</v>
      </c>
      <c r="B95" s="42" t="s">
        <v>514</v>
      </c>
      <c r="C95" s="67" t="s">
        <v>515</v>
      </c>
      <c r="D95" s="41" t="s">
        <v>333</v>
      </c>
      <c r="E95" s="102"/>
      <c r="F95" s="26" t="s">
        <v>536</v>
      </c>
      <c r="G95" s="43">
        <v>43101</v>
      </c>
      <c r="H95" s="43">
        <v>44926</v>
      </c>
      <c r="I95" s="56" t="s">
        <v>112</v>
      </c>
      <c r="J95" s="56" t="s">
        <v>516</v>
      </c>
      <c r="K95" s="56" t="s">
        <v>164</v>
      </c>
      <c r="L95" s="42">
        <v>242</v>
      </c>
      <c r="M95" s="57">
        <v>42113.4</v>
      </c>
      <c r="N95" s="57">
        <v>42113.4</v>
      </c>
      <c r="O95" s="57">
        <f>29000-29000</f>
        <v>0</v>
      </c>
      <c r="P95" s="57">
        <v>0</v>
      </c>
      <c r="Q95" s="42" t="s">
        <v>140</v>
      </c>
      <c r="R95" s="4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ht="60" customHeight="1">
      <c r="A96" s="53">
        <v>812</v>
      </c>
      <c r="B96" s="53" t="s">
        <v>336</v>
      </c>
      <c r="C96" s="41" t="s">
        <v>0</v>
      </c>
      <c r="D96" s="41" t="s">
        <v>181</v>
      </c>
      <c r="E96" s="41"/>
      <c r="F96" s="42" t="s">
        <v>182</v>
      </c>
      <c r="G96" s="55">
        <v>43466</v>
      </c>
      <c r="H96" s="55">
        <v>43830</v>
      </c>
      <c r="I96" s="63" t="s">
        <v>112</v>
      </c>
      <c r="J96" s="53">
        <v>2000813010</v>
      </c>
      <c r="K96" s="63" t="s">
        <v>164</v>
      </c>
      <c r="L96" s="53">
        <v>242</v>
      </c>
      <c r="M96" s="64">
        <v>17359</v>
      </c>
      <c r="N96" s="64">
        <v>17359</v>
      </c>
      <c r="O96" s="64">
        <f>17359-8584+1182.6</f>
        <v>9957.6</v>
      </c>
      <c r="P96" s="64">
        <v>0</v>
      </c>
      <c r="Q96" s="53" t="s">
        <v>135</v>
      </c>
      <c r="R96" s="46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87" customHeight="1">
      <c r="A97" s="53"/>
      <c r="B97" s="53"/>
      <c r="C97" s="41"/>
      <c r="D97" s="41" t="s">
        <v>425</v>
      </c>
      <c r="E97" s="41"/>
      <c r="F97" s="42" t="s">
        <v>183</v>
      </c>
      <c r="G97" s="53"/>
      <c r="H97" s="53"/>
      <c r="I97" s="53"/>
      <c r="J97" s="53"/>
      <c r="K97" s="53"/>
      <c r="L97" s="53"/>
      <c r="M97" s="64"/>
      <c r="N97" s="64"/>
      <c r="O97" s="64"/>
      <c r="P97" s="64"/>
      <c r="Q97" s="53"/>
      <c r="R97" s="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77.25" customHeight="1">
      <c r="A98" s="39">
        <v>812</v>
      </c>
      <c r="B98" s="39" t="s">
        <v>144</v>
      </c>
      <c r="C98" s="40" t="s">
        <v>418</v>
      </c>
      <c r="D98" s="92" t="s">
        <v>184</v>
      </c>
      <c r="E98" s="93"/>
      <c r="F98" s="42" t="s">
        <v>182</v>
      </c>
      <c r="G98" s="76">
        <v>43466</v>
      </c>
      <c r="H98" s="76">
        <v>43830</v>
      </c>
      <c r="I98" s="44" t="s">
        <v>112</v>
      </c>
      <c r="J98" s="39">
        <v>2000813020</v>
      </c>
      <c r="K98" s="44" t="s">
        <v>164</v>
      </c>
      <c r="L98" s="53">
        <v>242</v>
      </c>
      <c r="M98" s="64">
        <v>454530</v>
      </c>
      <c r="N98" s="64">
        <v>443204.9</v>
      </c>
      <c r="O98" s="64">
        <f>616545-27952+5833+43500-0.2341</f>
        <v>637925.7659</v>
      </c>
      <c r="P98" s="64">
        <f>O98</f>
        <v>637925.7659</v>
      </c>
      <c r="Q98" s="53" t="s">
        <v>135</v>
      </c>
      <c r="R98" s="4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72" customHeight="1">
      <c r="A99" s="47"/>
      <c r="B99" s="47"/>
      <c r="C99" s="48"/>
      <c r="D99" s="92" t="s">
        <v>425</v>
      </c>
      <c r="E99" s="93"/>
      <c r="F99" s="42" t="s">
        <v>185</v>
      </c>
      <c r="G99" s="82"/>
      <c r="H99" s="82"/>
      <c r="I99" s="51"/>
      <c r="J99" s="47"/>
      <c r="K99" s="51"/>
      <c r="L99" s="53"/>
      <c r="M99" s="64"/>
      <c r="N99" s="64"/>
      <c r="O99" s="64"/>
      <c r="P99" s="64"/>
      <c r="Q99" s="53"/>
      <c r="R99" s="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72" customHeight="1">
      <c r="A100" s="119">
        <v>812</v>
      </c>
      <c r="B100" s="119" t="s">
        <v>569</v>
      </c>
      <c r="C100" s="120" t="s">
        <v>564</v>
      </c>
      <c r="D100" s="49" t="s">
        <v>565</v>
      </c>
      <c r="E100" s="96"/>
      <c r="F100" s="42" t="s">
        <v>570</v>
      </c>
      <c r="G100" s="121">
        <v>43664</v>
      </c>
      <c r="H100" s="121" t="s">
        <v>600</v>
      </c>
      <c r="I100" s="56" t="s">
        <v>112</v>
      </c>
      <c r="J100" s="56" t="s">
        <v>566</v>
      </c>
      <c r="K100" s="56" t="s">
        <v>164</v>
      </c>
      <c r="L100" s="42">
        <v>242</v>
      </c>
      <c r="M100" s="57"/>
      <c r="N100" s="57">
        <v>95127.1</v>
      </c>
      <c r="O100" s="57">
        <f>346300-21380.7659</f>
        <v>324919.2341</v>
      </c>
      <c r="P100" s="57"/>
      <c r="Q100" s="42" t="s">
        <v>135</v>
      </c>
      <c r="R100" s="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72" customHeight="1">
      <c r="A101" s="119">
        <v>812</v>
      </c>
      <c r="B101" s="119" t="s">
        <v>585</v>
      </c>
      <c r="C101" s="120" t="s">
        <v>586</v>
      </c>
      <c r="D101" s="49" t="s">
        <v>598</v>
      </c>
      <c r="E101" s="50"/>
      <c r="F101" s="42" t="s">
        <v>599</v>
      </c>
      <c r="G101" s="121">
        <v>43755</v>
      </c>
      <c r="H101" s="121" t="s">
        <v>600</v>
      </c>
      <c r="I101" s="56" t="s">
        <v>112</v>
      </c>
      <c r="J101" s="56" t="s">
        <v>587</v>
      </c>
      <c r="K101" s="56" t="s">
        <v>164</v>
      </c>
      <c r="L101" s="42">
        <v>242</v>
      </c>
      <c r="M101" s="57">
        <v>0</v>
      </c>
      <c r="N101" s="57">
        <v>0</v>
      </c>
      <c r="O101" s="57">
        <v>3959.2</v>
      </c>
      <c r="P101" s="57"/>
      <c r="Q101" s="42" t="s">
        <v>140</v>
      </c>
      <c r="R101" s="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99" customHeight="1">
      <c r="A102" s="42">
        <v>812</v>
      </c>
      <c r="B102" s="42" t="s">
        <v>20</v>
      </c>
      <c r="C102" s="67" t="s">
        <v>131</v>
      </c>
      <c r="D102" s="92" t="s">
        <v>425</v>
      </c>
      <c r="E102" s="103"/>
      <c r="F102" s="42" t="s">
        <v>286</v>
      </c>
      <c r="G102" s="43">
        <v>43466</v>
      </c>
      <c r="H102" s="43" t="s">
        <v>600</v>
      </c>
      <c r="I102" s="56" t="s">
        <v>112</v>
      </c>
      <c r="J102" s="42">
        <v>2000813030</v>
      </c>
      <c r="K102" s="42">
        <v>800</v>
      </c>
      <c r="L102" s="42">
        <v>242</v>
      </c>
      <c r="M102" s="57">
        <v>34785</v>
      </c>
      <c r="N102" s="57">
        <v>34785</v>
      </c>
      <c r="O102" s="57">
        <f>34785-3704.5</f>
        <v>31080.5</v>
      </c>
      <c r="P102" s="57">
        <f>O102</f>
        <v>31080.5</v>
      </c>
      <c r="Q102" s="42" t="s">
        <v>135</v>
      </c>
      <c r="R102" s="4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ht="55.5" customHeight="1">
      <c r="A103" s="53">
        <v>812</v>
      </c>
      <c r="B103" s="53" t="s">
        <v>32</v>
      </c>
      <c r="C103" s="41" t="s">
        <v>429</v>
      </c>
      <c r="D103" s="41" t="s">
        <v>181</v>
      </c>
      <c r="E103" s="41"/>
      <c r="F103" s="42" t="s">
        <v>186</v>
      </c>
      <c r="G103" s="55">
        <v>43466</v>
      </c>
      <c r="H103" s="55">
        <v>43830</v>
      </c>
      <c r="I103" s="56" t="s">
        <v>109</v>
      </c>
      <c r="J103" s="42">
        <v>2000513040</v>
      </c>
      <c r="K103" s="63" t="s">
        <v>164</v>
      </c>
      <c r="L103" s="53">
        <v>242</v>
      </c>
      <c r="M103" s="57">
        <v>21663</v>
      </c>
      <c r="N103" s="57">
        <v>21650.3</v>
      </c>
      <c r="O103" s="57">
        <f>20888+8000+53150.3-8600</f>
        <v>73438.3</v>
      </c>
      <c r="P103" s="57">
        <v>28888</v>
      </c>
      <c r="Q103" s="53" t="s">
        <v>135</v>
      </c>
      <c r="R103" s="46"/>
      <c r="S103" s="1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ht="108" customHeight="1">
      <c r="A104" s="53"/>
      <c r="B104" s="53"/>
      <c r="C104" s="41"/>
      <c r="D104" s="41" t="s">
        <v>426</v>
      </c>
      <c r="E104" s="41"/>
      <c r="F104" s="42" t="s">
        <v>288</v>
      </c>
      <c r="G104" s="53"/>
      <c r="H104" s="53"/>
      <c r="I104" s="56" t="s">
        <v>113</v>
      </c>
      <c r="J104" s="42">
        <v>2000413040</v>
      </c>
      <c r="K104" s="63"/>
      <c r="L104" s="53"/>
      <c r="M104" s="57">
        <v>219094.1</v>
      </c>
      <c r="N104" s="57">
        <v>218619.7</v>
      </c>
      <c r="O104" s="57">
        <f>90035-8771+8771-1488.2+32709.4</f>
        <v>121256.20000000001</v>
      </c>
      <c r="P104" s="57">
        <v>90035</v>
      </c>
      <c r="Q104" s="53"/>
      <c r="R104" s="4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ht="82.5" customHeight="1">
      <c r="A105" s="42">
        <v>812</v>
      </c>
      <c r="B105" s="42" t="s">
        <v>33</v>
      </c>
      <c r="C105" s="67" t="s">
        <v>322</v>
      </c>
      <c r="D105" s="41" t="s">
        <v>333</v>
      </c>
      <c r="E105" s="41"/>
      <c r="F105" s="42" t="s">
        <v>175</v>
      </c>
      <c r="G105" s="43" t="s">
        <v>334</v>
      </c>
      <c r="H105" s="43">
        <v>44926</v>
      </c>
      <c r="I105" s="56" t="s">
        <v>113</v>
      </c>
      <c r="J105" s="42">
        <v>2000413070</v>
      </c>
      <c r="K105" s="42">
        <v>800</v>
      </c>
      <c r="L105" s="42">
        <v>242</v>
      </c>
      <c r="M105" s="57">
        <v>3974</v>
      </c>
      <c r="N105" s="57">
        <v>3837.7</v>
      </c>
      <c r="O105" s="57">
        <v>3974</v>
      </c>
      <c r="P105" s="57">
        <f>O105</f>
        <v>3974</v>
      </c>
      <c r="Q105" s="42" t="s">
        <v>135</v>
      </c>
      <c r="R105" s="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ht="86.25" customHeight="1">
      <c r="A106" s="42">
        <v>812</v>
      </c>
      <c r="B106" s="42" t="s">
        <v>545</v>
      </c>
      <c r="C106" s="67" t="s">
        <v>449</v>
      </c>
      <c r="D106" s="75" t="s">
        <v>423</v>
      </c>
      <c r="E106" s="112"/>
      <c r="F106" s="42" t="s">
        <v>537</v>
      </c>
      <c r="G106" s="43">
        <v>43466</v>
      </c>
      <c r="H106" s="43">
        <v>43830</v>
      </c>
      <c r="I106" s="56" t="s">
        <v>113</v>
      </c>
      <c r="J106" s="56" t="s">
        <v>386</v>
      </c>
      <c r="K106" s="56" t="s">
        <v>283</v>
      </c>
      <c r="L106" s="42">
        <v>300</v>
      </c>
      <c r="M106" s="57">
        <v>7222.3</v>
      </c>
      <c r="N106" s="57">
        <v>6783.2</v>
      </c>
      <c r="O106" s="57">
        <f>13500+3313.7</f>
        <v>16813.7</v>
      </c>
      <c r="P106" s="57">
        <v>0</v>
      </c>
      <c r="Q106" s="42" t="s">
        <v>135</v>
      </c>
      <c r="R106" s="4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ht="86.25" customHeight="1">
      <c r="A107" s="42">
        <v>812</v>
      </c>
      <c r="B107" s="42" t="s">
        <v>546</v>
      </c>
      <c r="C107" s="67" t="s">
        <v>531</v>
      </c>
      <c r="D107" s="75" t="s">
        <v>423</v>
      </c>
      <c r="E107" s="112"/>
      <c r="F107" s="42" t="s">
        <v>537</v>
      </c>
      <c r="G107" s="43">
        <v>43466</v>
      </c>
      <c r="H107" s="43">
        <v>43830</v>
      </c>
      <c r="I107" s="56" t="s">
        <v>113</v>
      </c>
      <c r="J107" s="56" t="s">
        <v>532</v>
      </c>
      <c r="K107" s="56" t="s">
        <v>283</v>
      </c>
      <c r="L107" s="42">
        <v>300</v>
      </c>
      <c r="M107" s="57">
        <v>0</v>
      </c>
      <c r="N107" s="57">
        <v>0</v>
      </c>
      <c r="O107" s="57">
        <f>50408.3-50408.3</f>
        <v>0</v>
      </c>
      <c r="P107" s="57">
        <v>0</v>
      </c>
      <c r="Q107" s="42" t="s">
        <v>135</v>
      </c>
      <c r="R107" s="4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ht="108" customHeight="1">
      <c r="A108" s="42">
        <v>812</v>
      </c>
      <c r="B108" s="42" t="s">
        <v>560</v>
      </c>
      <c r="C108" s="67" t="s">
        <v>555</v>
      </c>
      <c r="D108" s="41" t="s">
        <v>556</v>
      </c>
      <c r="E108" s="41"/>
      <c r="F108" s="42" t="s">
        <v>310</v>
      </c>
      <c r="G108" s="42" t="s">
        <v>557</v>
      </c>
      <c r="H108" s="122">
        <v>43830</v>
      </c>
      <c r="I108" s="56" t="s">
        <v>113</v>
      </c>
      <c r="J108" s="42">
        <v>9900012170</v>
      </c>
      <c r="K108" s="123" t="s">
        <v>126</v>
      </c>
      <c r="L108" s="42">
        <v>241</v>
      </c>
      <c r="M108" s="57">
        <v>0</v>
      </c>
      <c r="N108" s="57">
        <v>0</v>
      </c>
      <c r="O108" s="57">
        <v>0</v>
      </c>
      <c r="P108" s="57">
        <v>0</v>
      </c>
      <c r="Q108" s="124" t="s">
        <v>135</v>
      </c>
      <c r="R108" s="4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ht="28.5" customHeight="1">
      <c r="A109" s="53" t="s">
        <v>453</v>
      </c>
      <c r="B109" s="63" t="s">
        <v>34</v>
      </c>
      <c r="C109" s="41" t="s">
        <v>416</v>
      </c>
      <c r="D109" s="41" t="s">
        <v>412</v>
      </c>
      <c r="E109" s="41"/>
      <c r="F109" s="53" t="s">
        <v>413</v>
      </c>
      <c r="G109" s="55">
        <v>43282</v>
      </c>
      <c r="H109" s="53" t="s">
        <v>9</v>
      </c>
      <c r="I109" s="63" t="s">
        <v>114</v>
      </c>
      <c r="J109" s="63" t="s">
        <v>417</v>
      </c>
      <c r="K109" s="56" t="s">
        <v>163</v>
      </c>
      <c r="L109" s="42">
        <v>200</v>
      </c>
      <c r="M109" s="57">
        <v>149379.7</v>
      </c>
      <c r="N109" s="57">
        <v>146246.2</v>
      </c>
      <c r="O109" s="57">
        <f>316469.6-25294.6+25294.6-1309.67-3595.53</f>
        <v>311564.39999999997</v>
      </c>
      <c r="P109" s="57">
        <f>O109</f>
        <v>311564.39999999997</v>
      </c>
      <c r="Q109" s="53" t="s">
        <v>140</v>
      </c>
      <c r="R109" s="4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ht="28.5" customHeight="1">
      <c r="A110" s="53"/>
      <c r="B110" s="61"/>
      <c r="C110" s="60"/>
      <c r="D110" s="60"/>
      <c r="E110" s="60"/>
      <c r="F110" s="61"/>
      <c r="G110" s="61"/>
      <c r="H110" s="53"/>
      <c r="I110" s="61"/>
      <c r="J110" s="61"/>
      <c r="K110" s="56" t="s">
        <v>159</v>
      </c>
      <c r="L110" s="42" t="s">
        <v>128</v>
      </c>
      <c r="M110" s="57">
        <v>79840.3</v>
      </c>
      <c r="N110" s="57">
        <v>68399.3</v>
      </c>
      <c r="O110" s="57">
        <f>94570.1-5886.4+5886.4+1673.705+1107.55+202.12+419.476+150.588+47.329+635.97-1253.363+9631.47</f>
        <v>107184.945</v>
      </c>
      <c r="P110" s="57">
        <f>O110*1.04</f>
        <v>111472.34280000001</v>
      </c>
      <c r="Q110" s="53"/>
      <c r="R110" s="46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ht="28.5" customHeight="1">
      <c r="A111" s="53"/>
      <c r="B111" s="61"/>
      <c r="C111" s="60"/>
      <c r="D111" s="60"/>
      <c r="E111" s="60"/>
      <c r="F111" s="61"/>
      <c r="G111" s="61"/>
      <c r="H111" s="53"/>
      <c r="I111" s="61"/>
      <c r="J111" s="61"/>
      <c r="K111" s="56" t="s">
        <v>164</v>
      </c>
      <c r="L111" s="42">
        <v>200</v>
      </c>
      <c r="M111" s="57">
        <v>436.9</v>
      </c>
      <c r="N111" s="57">
        <v>315</v>
      </c>
      <c r="O111" s="57">
        <f>736.9-49.1+49.1-90.27</f>
        <v>646.63</v>
      </c>
      <c r="P111" s="57">
        <f>O111</f>
        <v>646.63</v>
      </c>
      <c r="Q111" s="53"/>
      <c r="R111" s="4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ht="98.25" customHeight="1">
      <c r="A112" s="69">
        <v>812</v>
      </c>
      <c r="B112" s="69" t="s">
        <v>337</v>
      </c>
      <c r="C112" s="111" t="s">
        <v>318</v>
      </c>
      <c r="D112" s="41" t="s">
        <v>423</v>
      </c>
      <c r="E112" s="41"/>
      <c r="F112" s="42" t="s">
        <v>178</v>
      </c>
      <c r="G112" s="73">
        <v>43466</v>
      </c>
      <c r="H112" s="73">
        <v>43830</v>
      </c>
      <c r="I112" s="74" t="s">
        <v>114</v>
      </c>
      <c r="J112" s="74" t="s">
        <v>391</v>
      </c>
      <c r="K112" s="74" t="s">
        <v>159</v>
      </c>
      <c r="L112" s="69">
        <v>200</v>
      </c>
      <c r="M112" s="97">
        <v>20335.5</v>
      </c>
      <c r="N112" s="97">
        <v>17351.4</v>
      </c>
      <c r="O112" s="97">
        <f>11393.4-689.3-1544.8-365.9</f>
        <v>8793.400000000001</v>
      </c>
      <c r="P112" s="97">
        <v>10704.1</v>
      </c>
      <c r="Q112" s="69" t="s">
        <v>135</v>
      </c>
      <c r="R112" s="4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ht="57.75" customHeight="1">
      <c r="A113" s="42" t="s">
        <v>453</v>
      </c>
      <c r="B113" s="56" t="s">
        <v>35</v>
      </c>
      <c r="C113" s="67" t="s">
        <v>454</v>
      </c>
      <c r="D113" s="41" t="s">
        <v>412</v>
      </c>
      <c r="E113" s="41"/>
      <c r="F113" s="42" t="s">
        <v>413</v>
      </c>
      <c r="G113" s="43">
        <v>43282</v>
      </c>
      <c r="H113" s="42" t="s">
        <v>9</v>
      </c>
      <c r="I113" s="56" t="s">
        <v>114</v>
      </c>
      <c r="J113" s="56" t="s">
        <v>455</v>
      </c>
      <c r="K113" s="56" t="s">
        <v>159</v>
      </c>
      <c r="L113" s="42" t="s">
        <v>128</v>
      </c>
      <c r="M113" s="57">
        <v>0</v>
      </c>
      <c r="N113" s="57">
        <v>0</v>
      </c>
      <c r="O113" s="57">
        <f>53373-1752.7+1752.7+6583</f>
        <v>59956</v>
      </c>
      <c r="P113" s="57">
        <f>O113*1.04</f>
        <v>62354.240000000005</v>
      </c>
      <c r="Q113" s="42" t="s">
        <v>140</v>
      </c>
      <c r="R113" s="4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ht="99.75" customHeight="1">
      <c r="A114" s="53">
        <v>812</v>
      </c>
      <c r="B114" s="53" t="s">
        <v>493</v>
      </c>
      <c r="C114" s="41" t="s">
        <v>494</v>
      </c>
      <c r="D114" s="41" t="s">
        <v>474</v>
      </c>
      <c r="E114" s="41"/>
      <c r="F114" s="42" t="s">
        <v>209</v>
      </c>
      <c r="G114" s="55">
        <v>40544</v>
      </c>
      <c r="H114" s="53" t="s">
        <v>9</v>
      </c>
      <c r="I114" s="63" t="s">
        <v>114</v>
      </c>
      <c r="J114" s="63" t="s">
        <v>495</v>
      </c>
      <c r="K114" s="63" t="s">
        <v>126</v>
      </c>
      <c r="L114" s="53">
        <v>241</v>
      </c>
      <c r="M114" s="64">
        <v>0</v>
      </c>
      <c r="N114" s="64">
        <v>0</v>
      </c>
      <c r="O114" s="64">
        <f>32982.8-32982.8</f>
        <v>0</v>
      </c>
      <c r="P114" s="64">
        <v>0</v>
      </c>
      <c r="Q114" s="53" t="s">
        <v>140</v>
      </c>
      <c r="R114" s="4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ht="51" customHeight="1">
      <c r="A115" s="53"/>
      <c r="B115" s="53"/>
      <c r="C115" s="41"/>
      <c r="D115" s="49" t="s">
        <v>187</v>
      </c>
      <c r="E115" s="50"/>
      <c r="F115" s="42" t="s">
        <v>188</v>
      </c>
      <c r="G115" s="55"/>
      <c r="H115" s="53"/>
      <c r="I115" s="63"/>
      <c r="J115" s="63"/>
      <c r="K115" s="63"/>
      <c r="L115" s="53"/>
      <c r="M115" s="64"/>
      <c r="N115" s="64"/>
      <c r="O115" s="64"/>
      <c r="P115" s="64"/>
      <c r="Q115" s="53"/>
      <c r="R115" s="46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ht="84.75" customHeight="1">
      <c r="A116" s="53"/>
      <c r="B116" s="53"/>
      <c r="C116" s="41"/>
      <c r="D116" s="41" t="s">
        <v>58</v>
      </c>
      <c r="E116" s="41"/>
      <c r="F116" s="42" t="s">
        <v>189</v>
      </c>
      <c r="G116" s="55"/>
      <c r="H116" s="53"/>
      <c r="I116" s="63"/>
      <c r="J116" s="63"/>
      <c r="K116" s="63"/>
      <c r="L116" s="53"/>
      <c r="M116" s="64"/>
      <c r="N116" s="64"/>
      <c r="O116" s="64"/>
      <c r="P116" s="64"/>
      <c r="Q116" s="53"/>
      <c r="R116" s="46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ht="28.5" customHeight="1">
      <c r="A117" s="53" t="s">
        <v>456</v>
      </c>
      <c r="B117" s="63" t="s">
        <v>36</v>
      </c>
      <c r="C117" s="40" t="s">
        <v>411</v>
      </c>
      <c r="D117" s="41" t="s">
        <v>412</v>
      </c>
      <c r="E117" s="41"/>
      <c r="F117" s="53" t="s">
        <v>413</v>
      </c>
      <c r="G117" s="55">
        <v>43282</v>
      </c>
      <c r="H117" s="39" t="s">
        <v>9</v>
      </c>
      <c r="I117" s="63" t="s">
        <v>94</v>
      </c>
      <c r="J117" s="63" t="s">
        <v>414</v>
      </c>
      <c r="K117" s="56" t="s">
        <v>163</v>
      </c>
      <c r="L117" s="42">
        <v>200</v>
      </c>
      <c r="M117" s="57">
        <v>14735</v>
      </c>
      <c r="N117" s="57">
        <v>14575.7</v>
      </c>
      <c r="O117" s="57">
        <f>31176.4-4845.60945</f>
        <v>26330.79055</v>
      </c>
      <c r="P117" s="57">
        <f>O117</f>
        <v>26330.79055</v>
      </c>
      <c r="Q117" s="53" t="s">
        <v>140</v>
      </c>
      <c r="R117" s="46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ht="28.5" customHeight="1">
      <c r="A118" s="53"/>
      <c r="B118" s="61"/>
      <c r="C118" s="125"/>
      <c r="D118" s="60"/>
      <c r="E118" s="60"/>
      <c r="F118" s="61"/>
      <c r="G118" s="61"/>
      <c r="H118" s="77"/>
      <c r="I118" s="61"/>
      <c r="J118" s="61"/>
      <c r="K118" s="56" t="s">
        <v>159</v>
      </c>
      <c r="L118" s="42" t="s">
        <v>128</v>
      </c>
      <c r="M118" s="57">
        <v>9561.9</v>
      </c>
      <c r="N118" s="57">
        <v>7379.8</v>
      </c>
      <c r="O118" s="57">
        <f>20770.9-1247.964+283.508-2925.38825</f>
        <v>16881.055750000003</v>
      </c>
      <c r="P118" s="57">
        <f>O118*1.04</f>
        <v>17556.297980000003</v>
      </c>
      <c r="Q118" s="53"/>
      <c r="R118" s="46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ht="28.5" customHeight="1">
      <c r="A119" s="53"/>
      <c r="B119" s="61"/>
      <c r="C119" s="125"/>
      <c r="D119" s="60"/>
      <c r="E119" s="60"/>
      <c r="F119" s="61"/>
      <c r="G119" s="61"/>
      <c r="H119" s="77"/>
      <c r="I119" s="61"/>
      <c r="J119" s="61"/>
      <c r="K119" s="56" t="s">
        <v>165</v>
      </c>
      <c r="L119" s="42">
        <v>200</v>
      </c>
      <c r="M119" s="57">
        <v>257.6</v>
      </c>
      <c r="N119" s="57">
        <v>229.3</v>
      </c>
      <c r="O119" s="57">
        <f>334-140</f>
        <v>194</v>
      </c>
      <c r="P119" s="57">
        <f>O119*1.04</f>
        <v>201.76000000000002</v>
      </c>
      <c r="Q119" s="53"/>
      <c r="R119" s="46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ht="28.5" customHeight="1">
      <c r="A120" s="53"/>
      <c r="B120" s="61"/>
      <c r="C120" s="126"/>
      <c r="D120" s="60"/>
      <c r="E120" s="60"/>
      <c r="F120" s="61"/>
      <c r="G120" s="61"/>
      <c r="H120" s="47"/>
      <c r="I120" s="61"/>
      <c r="J120" s="61"/>
      <c r="K120" s="56" t="s">
        <v>164</v>
      </c>
      <c r="L120" s="42">
        <v>200</v>
      </c>
      <c r="M120" s="57">
        <v>31.1</v>
      </c>
      <c r="N120" s="57">
        <v>13.4</v>
      </c>
      <c r="O120" s="57">
        <f>16.6-2.97286</f>
        <v>13.62714</v>
      </c>
      <c r="P120" s="57">
        <f>O120</f>
        <v>13.62714</v>
      </c>
      <c r="Q120" s="53"/>
      <c r="R120" s="46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ht="99.75" customHeight="1">
      <c r="A121" s="53">
        <v>812</v>
      </c>
      <c r="B121" s="53" t="s">
        <v>467</v>
      </c>
      <c r="C121" s="41" t="s">
        <v>432</v>
      </c>
      <c r="D121" s="49" t="s">
        <v>474</v>
      </c>
      <c r="E121" s="50"/>
      <c r="F121" s="42" t="s">
        <v>209</v>
      </c>
      <c r="G121" s="55">
        <v>40544</v>
      </c>
      <c r="H121" s="53" t="s">
        <v>9</v>
      </c>
      <c r="I121" s="63" t="s">
        <v>94</v>
      </c>
      <c r="J121" s="63" t="s">
        <v>360</v>
      </c>
      <c r="K121" s="63" t="s">
        <v>126</v>
      </c>
      <c r="L121" s="53">
        <v>241</v>
      </c>
      <c r="M121" s="64">
        <v>372255.2</v>
      </c>
      <c r="N121" s="64">
        <v>372255.2</v>
      </c>
      <c r="O121" s="64">
        <f>347297.7+4327.71368+20476.3</f>
        <v>372101.71368</v>
      </c>
      <c r="P121" s="64">
        <f>O121*1.04</f>
        <v>386985.7822272</v>
      </c>
      <c r="Q121" s="53" t="s">
        <v>140</v>
      </c>
      <c r="R121" s="46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ht="51" customHeight="1">
      <c r="A122" s="53"/>
      <c r="B122" s="53"/>
      <c r="C122" s="41"/>
      <c r="D122" s="41" t="s">
        <v>187</v>
      </c>
      <c r="E122" s="41"/>
      <c r="F122" s="42" t="s">
        <v>188</v>
      </c>
      <c r="G122" s="55"/>
      <c r="H122" s="53"/>
      <c r="I122" s="63"/>
      <c r="J122" s="63"/>
      <c r="K122" s="63"/>
      <c r="L122" s="53"/>
      <c r="M122" s="64"/>
      <c r="N122" s="64"/>
      <c r="O122" s="64"/>
      <c r="P122" s="64"/>
      <c r="Q122" s="53"/>
      <c r="R122" s="46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ht="84.75" customHeight="1">
      <c r="A123" s="53"/>
      <c r="B123" s="53"/>
      <c r="C123" s="41"/>
      <c r="D123" s="41" t="s">
        <v>58</v>
      </c>
      <c r="E123" s="41"/>
      <c r="F123" s="42" t="s">
        <v>189</v>
      </c>
      <c r="G123" s="55"/>
      <c r="H123" s="53"/>
      <c r="I123" s="63"/>
      <c r="J123" s="63"/>
      <c r="K123" s="63"/>
      <c r="L123" s="53"/>
      <c r="M123" s="64"/>
      <c r="N123" s="64"/>
      <c r="O123" s="64"/>
      <c r="P123" s="64"/>
      <c r="Q123" s="53"/>
      <c r="R123" s="46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ht="90.75" customHeight="1">
      <c r="A124" s="69">
        <v>812</v>
      </c>
      <c r="B124" s="69" t="s">
        <v>37</v>
      </c>
      <c r="C124" s="111" t="s">
        <v>318</v>
      </c>
      <c r="D124" s="41" t="s">
        <v>423</v>
      </c>
      <c r="E124" s="41"/>
      <c r="F124" s="42" t="s">
        <v>178</v>
      </c>
      <c r="G124" s="73">
        <v>43466</v>
      </c>
      <c r="H124" s="73">
        <v>43830</v>
      </c>
      <c r="I124" s="74" t="s">
        <v>94</v>
      </c>
      <c r="J124" s="74" t="s">
        <v>391</v>
      </c>
      <c r="K124" s="74" t="s">
        <v>159</v>
      </c>
      <c r="L124" s="69">
        <v>200</v>
      </c>
      <c r="M124" s="97">
        <v>10456.2</v>
      </c>
      <c r="N124" s="97">
        <v>10456</v>
      </c>
      <c r="O124" s="97">
        <f>6639.5-6389.5-26.9</f>
        <v>223.1</v>
      </c>
      <c r="P124" s="97">
        <f>O124</f>
        <v>223.1</v>
      </c>
      <c r="Q124" s="69" t="s">
        <v>135</v>
      </c>
      <c r="R124" s="46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ht="87" customHeight="1">
      <c r="A125" s="42">
        <v>812</v>
      </c>
      <c r="B125" s="42" t="s">
        <v>338</v>
      </c>
      <c r="C125" s="67" t="s">
        <v>381</v>
      </c>
      <c r="D125" s="41" t="s">
        <v>230</v>
      </c>
      <c r="E125" s="41"/>
      <c r="F125" s="42" t="s">
        <v>209</v>
      </c>
      <c r="G125" s="43">
        <v>43466</v>
      </c>
      <c r="H125" s="43">
        <v>43830</v>
      </c>
      <c r="I125" s="56" t="s">
        <v>94</v>
      </c>
      <c r="J125" s="56" t="s">
        <v>404</v>
      </c>
      <c r="K125" s="56" t="s">
        <v>126</v>
      </c>
      <c r="L125" s="42">
        <v>241</v>
      </c>
      <c r="M125" s="57">
        <v>5007.8</v>
      </c>
      <c r="N125" s="57">
        <v>4991.8</v>
      </c>
      <c r="O125" s="57">
        <f>2188+1085.53+651.142+1394.5</f>
        <v>5319.172</v>
      </c>
      <c r="P125" s="57">
        <v>0</v>
      </c>
      <c r="Q125" s="42" t="s">
        <v>140</v>
      </c>
      <c r="R125" s="46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ht="87" customHeight="1">
      <c r="A126" s="42">
        <v>812</v>
      </c>
      <c r="B126" s="42" t="s">
        <v>549</v>
      </c>
      <c r="C126" s="67" t="s">
        <v>550</v>
      </c>
      <c r="D126" s="41" t="s">
        <v>230</v>
      </c>
      <c r="E126" s="41"/>
      <c r="F126" s="42" t="s">
        <v>209</v>
      </c>
      <c r="G126" s="43">
        <v>43644</v>
      </c>
      <c r="H126" s="43">
        <v>43830</v>
      </c>
      <c r="I126" s="56" t="s">
        <v>94</v>
      </c>
      <c r="J126" s="56" t="s">
        <v>551</v>
      </c>
      <c r="K126" s="56" t="s">
        <v>126</v>
      </c>
      <c r="L126" s="42">
        <v>241</v>
      </c>
      <c r="M126" s="57">
        <v>0</v>
      </c>
      <c r="N126" s="57">
        <v>0</v>
      </c>
      <c r="O126" s="57">
        <v>313.314</v>
      </c>
      <c r="P126" s="57">
        <v>0</v>
      </c>
      <c r="Q126" s="42" t="s">
        <v>140</v>
      </c>
      <c r="R126" s="46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ht="106.5" customHeight="1">
      <c r="A127" s="39">
        <v>812</v>
      </c>
      <c r="B127" s="39" t="s">
        <v>38</v>
      </c>
      <c r="C127" s="40" t="s">
        <v>433</v>
      </c>
      <c r="D127" s="92" t="s">
        <v>474</v>
      </c>
      <c r="E127" s="93"/>
      <c r="F127" s="42" t="s">
        <v>209</v>
      </c>
      <c r="G127" s="76">
        <v>40544</v>
      </c>
      <c r="H127" s="39" t="s">
        <v>9</v>
      </c>
      <c r="I127" s="44" t="s">
        <v>292</v>
      </c>
      <c r="J127" s="44" t="s">
        <v>361</v>
      </c>
      <c r="K127" s="44" t="s">
        <v>126</v>
      </c>
      <c r="L127" s="39">
        <v>241</v>
      </c>
      <c r="M127" s="45">
        <v>202509.5</v>
      </c>
      <c r="N127" s="45">
        <v>202509.5</v>
      </c>
      <c r="O127" s="45">
        <f>211617.8+3814.06</f>
        <v>215431.86</v>
      </c>
      <c r="P127" s="45">
        <f>O127*1.04</f>
        <v>224049.13439999998</v>
      </c>
      <c r="Q127" s="39" t="s">
        <v>140</v>
      </c>
      <c r="R127" s="46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ht="70.5" customHeight="1">
      <c r="A128" s="77"/>
      <c r="B128" s="77"/>
      <c r="C128" s="78"/>
      <c r="D128" s="49" t="s">
        <v>187</v>
      </c>
      <c r="E128" s="50"/>
      <c r="F128" s="42" t="s">
        <v>188</v>
      </c>
      <c r="G128" s="80"/>
      <c r="H128" s="77"/>
      <c r="I128" s="62"/>
      <c r="J128" s="62"/>
      <c r="K128" s="62"/>
      <c r="L128" s="77"/>
      <c r="M128" s="127"/>
      <c r="N128" s="127"/>
      <c r="O128" s="127"/>
      <c r="P128" s="127"/>
      <c r="Q128" s="77"/>
      <c r="R128" s="46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ht="87.75" customHeight="1">
      <c r="A129" s="47"/>
      <c r="B129" s="47"/>
      <c r="C129" s="48"/>
      <c r="D129" s="49" t="s">
        <v>58</v>
      </c>
      <c r="E129" s="50"/>
      <c r="F129" s="42" t="s">
        <v>189</v>
      </c>
      <c r="G129" s="82"/>
      <c r="H129" s="47"/>
      <c r="I129" s="51"/>
      <c r="J129" s="51"/>
      <c r="K129" s="51"/>
      <c r="L129" s="47"/>
      <c r="M129" s="52"/>
      <c r="N129" s="52"/>
      <c r="O129" s="52"/>
      <c r="P129" s="52"/>
      <c r="Q129" s="47"/>
      <c r="R129" s="46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18" s="21" customFormat="1" ht="87" customHeight="1">
      <c r="A130" s="128" t="s">
        <v>319</v>
      </c>
      <c r="B130" s="129" t="s">
        <v>242</v>
      </c>
      <c r="C130" s="130" t="s">
        <v>318</v>
      </c>
      <c r="D130" s="131" t="s">
        <v>423</v>
      </c>
      <c r="E130" s="132"/>
      <c r="F130" s="133" t="s">
        <v>178</v>
      </c>
      <c r="G130" s="73">
        <v>43466</v>
      </c>
      <c r="H130" s="73">
        <v>43830</v>
      </c>
      <c r="I130" s="129" t="s">
        <v>292</v>
      </c>
      <c r="J130" s="134">
        <v>3050580002</v>
      </c>
      <c r="K130" s="129" t="s">
        <v>159</v>
      </c>
      <c r="L130" s="128">
        <v>200</v>
      </c>
      <c r="M130" s="135">
        <v>0</v>
      </c>
      <c r="N130" s="135">
        <v>0</v>
      </c>
      <c r="O130" s="129">
        <f>4297.9+5889.6-35.9</f>
        <v>10151.6</v>
      </c>
      <c r="P130" s="129">
        <f>O130</f>
        <v>10151.6</v>
      </c>
      <c r="Q130" s="129" t="s">
        <v>135</v>
      </c>
      <c r="R130" s="136"/>
    </row>
    <row r="131" spans="1:53" ht="87" customHeight="1">
      <c r="A131" s="53">
        <v>812</v>
      </c>
      <c r="B131" s="53" t="s">
        <v>517</v>
      </c>
      <c r="C131" s="41" t="s">
        <v>381</v>
      </c>
      <c r="D131" s="41" t="s">
        <v>230</v>
      </c>
      <c r="E131" s="41"/>
      <c r="F131" s="42" t="s">
        <v>209</v>
      </c>
      <c r="G131" s="55">
        <v>43524</v>
      </c>
      <c r="H131" s="76">
        <v>43830</v>
      </c>
      <c r="I131" s="44" t="s">
        <v>292</v>
      </c>
      <c r="J131" s="63" t="s">
        <v>404</v>
      </c>
      <c r="K131" s="63" t="s">
        <v>126</v>
      </c>
      <c r="L131" s="53">
        <v>241</v>
      </c>
      <c r="M131" s="64">
        <v>0</v>
      </c>
      <c r="N131" s="64">
        <v>0</v>
      </c>
      <c r="O131" s="64">
        <v>606.04</v>
      </c>
      <c r="P131" s="64">
        <v>0</v>
      </c>
      <c r="Q131" s="53" t="s">
        <v>140</v>
      </c>
      <c r="R131" s="46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ht="58.5" customHeight="1">
      <c r="A132" s="53"/>
      <c r="B132" s="53"/>
      <c r="C132" s="41"/>
      <c r="D132" s="41" t="s">
        <v>187</v>
      </c>
      <c r="E132" s="41"/>
      <c r="F132" s="42" t="s">
        <v>188</v>
      </c>
      <c r="G132" s="55"/>
      <c r="H132" s="80"/>
      <c r="I132" s="62"/>
      <c r="J132" s="63"/>
      <c r="K132" s="63"/>
      <c r="L132" s="53"/>
      <c r="M132" s="64"/>
      <c r="N132" s="64"/>
      <c r="O132" s="64"/>
      <c r="P132" s="64"/>
      <c r="Q132" s="53"/>
      <c r="R132" s="46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ht="84" customHeight="1">
      <c r="A133" s="53"/>
      <c r="B133" s="53"/>
      <c r="C133" s="41"/>
      <c r="D133" s="41" t="s">
        <v>58</v>
      </c>
      <c r="E133" s="41"/>
      <c r="F133" s="42" t="s">
        <v>189</v>
      </c>
      <c r="G133" s="55"/>
      <c r="H133" s="82"/>
      <c r="I133" s="51"/>
      <c r="J133" s="63"/>
      <c r="K133" s="63"/>
      <c r="L133" s="53"/>
      <c r="M133" s="64"/>
      <c r="N133" s="64"/>
      <c r="O133" s="64"/>
      <c r="P133" s="64"/>
      <c r="Q133" s="53"/>
      <c r="R133" s="46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ht="87" customHeight="1">
      <c r="A134" s="42">
        <v>812</v>
      </c>
      <c r="B134" s="42" t="s">
        <v>588</v>
      </c>
      <c r="C134" s="67" t="s">
        <v>589</v>
      </c>
      <c r="D134" s="41" t="s">
        <v>230</v>
      </c>
      <c r="E134" s="41"/>
      <c r="F134" s="42" t="s">
        <v>209</v>
      </c>
      <c r="G134" s="43">
        <v>43755</v>
      </c>
      <c r="H134" s="43">
        <v>43830</v>
      </c>
      <c r="I134" s="56" t="s">
        <v>292</v>
      </c>
      <c r="J134" s="56" t="s">
        <v>590</v>
      </c>
      <c r="K134" s="56" t="s">
        <v>126</v>
      </c>
      <c r="L134" s="42">
        <v>241</v>
      </c>
      <c r="M134" s="57">
        <v>0</v>
      </c>
      <c r="N134" s="57">
        <v>0</v>
      </c>
      <c r="O134" s="57">
        <v>490.875</v>
      </c>
      <c r="P134" s="57">
        <v>0</v>
      </c>
      <c r="Q134" s="42" t="s">
        <v>140</v>
      </c>
      <c r="R134" s="46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ht="101.25" customHeight="1">
      <c r="A135" s="53">
        <v>812</v>
      </c>
      <c r="B135" s="53" t="s">
        <v>339</v>
      </c>
      <c r="C135" s="41" t="s">
        <v>434</v>
      </c>
      <c r="D135" s="41" t="s">
        <v>474</v>
      </c>
      <c r="E135" s="41"/>
      <c r="F135" s="42" t="s">
        <v>209</v>
      </c>
      <c r="G135" s="55" t="s">
        <v>232</v>
      </c>
      <c r="H135" s="53" t="s">
        <v>9</v>
      </c>
      <c r="I135" s="63" t="s">
        <v>145</v>
      </c>
      <c r="J135" s="63" t="s">
        <v>362</v>
      </c>
      <c r="K135" s="63" t="s">
        <v>126</v>
      </c>
      <c r="L135" s="53">
        <v>241</v>
      </c>
      <c r="M135" s="64">
        <v>88732</v>
      </c>
      <c r="N135" s="64">
        <v>88732</v>
      </c>
      <c r="O135" s="64">
        <f>84499.7+3403.7</f>
        <v>87903.4</v>
      </c>
      <c r="P135" s="64">
        <f>O135*1.04</f>
        <v>91419.536</v>
      </c>
      <c r="Q135" s="53" t="s">
        <v>140</v>
      </c>
      <c r="R135" s="46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ht="69" customHeight="1">
      <c r="A136" s="53"/>
      <c r="B136" s="53"/>
      <c r="C136" s="41"/>
      <c r="D136" s="41" t="s">
        <v>187</v>
      </c>
      <c r="E136" s="41"/>
      <c r="F136" s="42" t="s">
        <v>209</v>
      </c>
      <c r="G136" s="55"/>
      <c r="H136" s="53"/>
      <c r="I136" s="63"/>
      <c r="J136" s="63"/>
      <c r="K136" s="63"/>
      <c r="L136" s="53"/>
      <c r="M136" s="64"/>
      <c r="N136" s="64"/>
      <c r="O136" s="64"/>
      <c r="P136" s="64"/>
      <c r="Q136" s="53"/>
      <c r="R136" s="46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ht="90.75" customHeight="1">
      <c r="A137" s="53"/>
      <c r="B137" s="53"/>
      <c r="C137" s="41"/>
      <c r="D137" s="41" t="s">
        <v>58</v>
      </c>
      <c r="E137" s="41"/>
      <c r="F137" s="42" t="s">
        <v>188</v>
      </c>
      <c r="G137" s="55"/>
      <c r="H137" s="53"/>
      <c r="I137" s="63"/>
      <c r="J137" s="63"/>
      <c r="K137" s="63"/>
      <c r="L137" s="53"/>
      <c r="M137" s="64"/>
      <c r="N137" s="64"/>
      <c r="O137" s="64"/>
      <c r="P137" s="64"/>
      <c r="Q137" s="53"/>
      <c r="R137" s="46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ht="58.5" customHeight="1">
      <c r="A138" s="63" t="s">
        <v>319</v>
      </c>
      <c r="B138" s="53" t="s">
        <v>243</v>
      </c>
      <c r="C138" s="41" t="s">
        <v>28</v>
      </c>
      <c r="D138" s="137" t="s">
        <v>14</v>
      </c>
      <c r="E138" s="137"/>
      <c r="F138" s="42" t="s">
        <v>209</v>
      </c>
      <c r="G138" s="55">
        <v>43466</v>
      </c>
      <c r="H138" s="55">
        <v>43830</v>
      </c>
      <c r="I138" s="63" t="s">
        <v>145</v>
      </c>
      <c r="J138" s="53">
        <v>3050220020</v>
      </c>
      <c r="K138" s="138">
        <v>600</v>
      </c>
      <c r="L138" s="138">
        <v>200</v>
      </c>
      <c r="M138" s="45">
        <v>3639.7</v>
      </c>
      <c r="N138" s="45">
        <v>3475.3</v>
      </c>
      <c r="O138" s="45">
        <v>3325</v>
      </c>
      <c r="P138" s="45">
        <f>O138*1.04</f>
        <v>3458</v>
      </c>
      <c r="Q138" s="53" t="s">
        <v>136</v>
      </c>
      <c r="R138" s="46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ht="84" customHeight="1">
      <c r="A139" s="63"/>
      <c r="B139" s="53"/>
      <c r="C139" s="41"/>
      <c r="D139" s="139" t="s">
        <v>230</v>
      </c>
      <c r="E139" s="140"/>
      <c r="F139" s="42" t="s">
        <v>188</v>
      </c>
      <c r="G139" s="55"/>
      <c r="H139" s="53"/>
      <c r="I139" s="63"/>
      <c r="J139" s="53"/>
      <c r="K139" s="141"/>
      <c r="L139" s="141"/>
      <c r="M139" s="127"/>
      <c r="N139" s="127"/>
      <c r="O139" s="127"/>
      <c r="P139" s="127"/>
      <c r="Q139" s="53"/>
      <c r="R139" s="46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ht="57" customHeight="1">
      <c r="A140" s="63"/>
      <c r="B140" s="53"/>
      <c r="C140" s="41"/>
      <c r="D140" s="41" t="s">
        <v>187</v>
      </c>
      <c r="E140" s="41"/>
      <c r="F140" s="42" t="s">
        <v>189</v>
      </c>
      <c r="G140" s="53"/>
      <c r="H140" s="53"/>
      <c r="I140" s="63"/>
      <c r="J140" s="53"/>
      <c r="K140" s="142"/>
      <c r="L140" s="142"/>
      <c r="M140" s="52"/>
      <c r="N140" s="52"/>
      <c r="O140" s="52"/>
      <c r="P140" s="52"/>
      <c r="Q140" s="61"/>
      <c r="R140" s="46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ht="84.75" customHeight="1">
      <c r="A141" s="69">
        <v>812</v>
      </c>
      <c r="B141" s="69" t="s">
        <v>244</v>
      </c>
      <c r="C141" s="111" t="s">
        <v>318</v>
      </c>
      <c r="D141" s="41" t="s">
        <v>423</v>
      </c>
      <c r="E141" s="41"/>
      <c r="F141" s="42" t="s">
        <v>178</v>
      </c>
      <c r="G141" s="73">
        <v>43466</v>
      </c>
      <c r="H141" s="73">
        <v>43830</v>
      </c>
      <c r="I141" s="74" t="s">
        <v>145</v>
      </c>
      <c r="J141" s="74" t="s">
        <v>391</v>
      </c>
      <c r="K141" s="74" t="s">
        <v>159</v>
      </c>
      <c r="L141" s="69">
        <v>200</v>
      </c>
      <c r="M141" s="97">
        <v>2661.8</v>
      </c>
      <c r="N141" s="97">
        <v>2625.8</v>
      </c>
      <c r="O141" s="97">
        <f>2374.3-2374.3+1304.9</f>
        <v>1304.9</v>
      </c>
      <c r="P141" s="97">
        <f>O141</f>
        <v>1304.9</v>
      </c>
      <c r="Q141" s="69" t="s">
        <v>135</v>
      </c>
      <c r="R141" s="46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ht="87" customHeight="1">
      <c r="A142" s="53">
        <v>812</v>
      </c>
      <c r="B142" s="53" t="s">
        <v>398</v>
      </c>
      <c r="C142" s="41" t="s">
        <v>381</v>
      </c>
      <c r="D142" s="41" t="s">
        <v>230</v>
      </c>
      <c r="E142" s="41"/>
      <c r="F142" s="42" t="s">
        <v>209</v>
      </c>
      <c r="G142" s="55">
        <v>43248</v>
      </c>
      <c r="H142" s="55">
        <v>43465</v>
      </c>
      <c r="I142" s="63" t="s">
        <v>145</v>
      </c>
      <c r="J142" s="63" t="s">
        <v>404</v>
      </c>
      <c r="K142" s="63" t="s">
        <v>126</v>
      </c>
      <c r="L142" s="53">
        <v>241</v>
      </c>
      <c r="M142" s="64">
        <v>0</v>
      </c>
      <c r="N142" s="64">
        <v>0</v>
      </c>
      <c r="O142" s="64">
        <v>664</v>
      </c>
      <c r="P142" s="64">
        <v>0</v>
      </c>
      <c r="Q142" s="53" t="s">
        <v>140</v>
      </c>
      <c r="R142" s="46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ht="57" customHeight="1">
      <c r="A143" s="53"/>
      <c r="B143" s="53"/>
      <c r="C143" s="41"/>
      <c r="D143" s="41" t="s">
        <v>187</v>
      </c>
      <c r="E143" s="41"/>
      <c r="F143" s="42" t="s">
        <v>188</v>
      </c>
      <c r="G143" s="55"/>
      <c r="H143" s="53"/>
      <c r="I143" s="63"/>
      <c r="J143" s="63"/>
      <c r="K143" s="63"/>
      <c r="L143" s="53"/>
      <c r="M143" s="64"/>
      <c r="N143" s="64"/>
      <c r="O143" s="64"/>
      <c r="P143" s="64"/>
      <c r="Q143" s="53"/>
      <c r="R143" s="46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ht="90.75" customHeight="1">
      <c r="A144" s="53"/>
      <c r="B144" s="53"/>
      <c r="C144" s="41"/>
      <c r="D144" s="41" t="s">
        <v>58</v>
      </c>
      <c r="E144" s="41"/>
      <c r="F144" s="42" t="s">
        <v>189</v>
      </c>
      <c r="G144" s="55"/>
      <c r="H144" s="53"/>
      <c r="I144" s="63"/>
      <c r="J144" s="63"/>
      <c r="K144" s="63"/>
      <c r="L144" s="53"/>
      <c r="M144" s="64"/>
      <c r="N144" s="64"/>
      <c r="O144" s="64"/>
      <c r="P144" s="64"/>
      <c r="Q144" s="53"/>
      <c r="R144" s="46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ht="28.5" customHeight="1">
      <c r="A145" s="53" t="s">
        <v>456</v>
      </c>
      <c r="B145" s="63" t="s">
        <v>247</v>
      </c>
      <c r="C145" s="40" t="s">
        <v>415</v>
      </c>
      <c r="D145" s="41" t="s">
        <v>412</v>
      </c>
      <c r="E145" s="41"/>
      <c r="F145" s="53" t="s">
        <v>413</v>
      </c>
      <c r="G145" s="55">
        <v>43282</v>
      </c>
      <c r="H145" s="53" t="s">
        <v>9</v>
      </c>
      <c r="I145" s="44" t="s">
        <v>95</v>
      </c>
      <c r="J145" s="44" t="s">
        <v>457</v>
      </c>
      <c r="K145" s="56" t="s">
        <v>163</v>
      </c>
      <c r="L145" s="42">
        <v>200</v>
      </c>
      <c r="M145" s="57">
        <v>0</v>
      </c>
      <c r="N145" s="57">
        <v>0</v>
      </c>
      <c r="O145" s="57">
        <f>109.8+6.7+5.3-2.23313</f>
        <v>119.56687</v>
      </c>
      <c r="P145" s="57">
        <f>O145</f>
        <v>119.56687</v>
      </c>
      <c r="Q145" s="39" t="s">
        <v>140</v>
      </c>
      <c r="R145" s="46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ht="28.5" customHeight="1">
      <c r="A146" s="53"/>
      <c r="B146" s="63"/>
      <c r="C146" s="78"/>
      <c r="D146" s="60"/>
      <c r="E146" s="60"/>
      <c r="F146" s="61"/>
      <c r="G146" s="61"/>
      <c r="H146" s="53"/>
      <c r="I146" s="62"/>
      <c r="J146" s="62"/>
      <c r="K146" s="56" t="s">
        <v>159</v>
      </c>
      <c r="L146" s="42" t="s">
        <v>128</v>
      </c>
      <c r="M146" s="57">
        <v>232.7</v>
      </c>
      <c r="N146" s="57">
        <v>232.7</v>
      </c>
      <c r="O146" s="57">
        <f>1287.2-6.7-5.3-94.95972</f>
        <v>1180.24028</v>
      </c>
      <c r="P146" s="57">
        <f>O146*1.04</f>
        <v>1227.4498912000001</v>
      </c>
      <c r="Q146" s="77"/>
      <c r="R146" s="46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ht="28.5" customHeight="1">
      <c r="A147" s="53"/>
      <c r="B147" s="63"/>
      <c r="C147" s="48"/>
      <c r="D147" s="84" t="s">
        <v>577</v>
      </c>
      <c r="E147" s="84"/>
      <c r="F147" s="42" t="s">
        <v>578</v>
      </c>
      <c r="G147" s="43">
        <v>43678</v>
      </c>
      <c r="H147" s="43">
        <v>43830</v>
      </c>
      <c r="I147" s="51"/>
      <c r="J147" s="51"/>
      <c r="K147" s="56" t="s">
        <v>126</v>
      </c>
      <c r="L147" s="42">
        <v>200</v>
      </c>
      <c r="M147" s="57">
        <v>0</v>
      </c>
      <c r="N147" s="57">
        <v>0</v>
      </c>
      <c r="O147" s="57">
        <v>1456</v>
      </c>
      <c r="P147" s="57">
        <v>0</v>
      </c>
      <c r="Q147" s="47"/>
      <c r="R147" s="46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ht="55.5" customHeight="1">
      <c r="A148" s="53">
        <v>812</v>
      </c>
      <c r="B148" s="53" t="s">
        <v>248</v>
      </c>
      <c r="C148" s="41" t="s">
        <v>435</v>
      </c>
      <c r="D148" s="41" t="s">
        <v>475</v>
      </c>
      <c r="E148" s="41"/>
      <c r="F148" s="42" t="s">
        <v>343</v>
      </c>
      <c r="G148" s="55">
        <v>41667</v>
      </c>
      <c r="H148" s="53" t="s">
        <v>9</v>
      </c>
      <c r="I148" s="63" t="s">
        <v>95</v>
      </c>
      <c r="J148" s="63" t="s">
        <v>363</v>
      </c>
      <c r="K148" s="63" t="s">
        <v>126</v>
      </c>
      <c r="L148" s="53">
        <v>241</v>
      </c>
      <c r="M148" s="64">
        <v>5099.7</v>
      </c>
      <c r="N148" s="64">
        <v>5099.7</v>
      </c>
      <c r="O148" s="64">
        <f>4199-87.03</f>
        <v>4111.97</v>
      </c>
      <c r="P148" s="64">
        <f>O148*1.04</f>
        <v>4276.4488</v>
      </c>
      <c r="Q148" s="53" t="s">
        <v>140</v>
      </c>
      <c r="R148" s="46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ht="55.5" customHeight="1">
      <c r="A149" s="53"/>
      <c r="B149" s="53"/>
      <c r="C149" s="41"/>
      <c r="D149" s="41" t="s">
        <v>187</v>
      </c>
      <c r="E149" s="41"/>
      <c r="F149" s="42" t="s">
        <v>188</v>
      </c>
      <c r="G149" s="55"/>
      <c r="H149" s="53"/>
      <c r="I149" s="63"/>
      <c r="J149" s="63"/>
      <c r="K149" s="63"/>
      <c r="L149" s="53"/>
      <c r="M149" s="64"/>
      <c r="N149" s="64"/>
      <c r="O149" s="64"/>
      <c r="P149" s="64"/>
      <c r="Q149" s="53"/>
      <c r="R149" s="46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ht="91.5" customHeight="1">
      <c r="A150" s="53"/>
      <c r="B150" s="53"/>
      <c r="C150" s="41"/>
      <c r="D150" s="41" t="s">
        <v>58</v>
      </c>
      <c r="E150" s="41"/>
      <c r="F150" s="42" t="s">
        <v>189</v>
      </c>
      <c r="G150" s="55"/>
      <c r="H150" s="53"/>
      <c r="I150" s="63"/>
      <c r="J150" s="63"/>
      <c r="K150" s="63"/>
      <c r="L150" s="53"/>
      <c r="M150" s="64"/>
      <c r="N150" s="64"/>
      <c r="O150" s="64"/>
      <c r="P150" s="64"/>
      <c r="Q150" s="53"/>
      <c r="R150" s="46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ht="63.75" customHeight="1">
      <c r="A151" s="53">
        <v>812</v>
      </c>
      <c r="B151" s="53" t="s">
        <v>392</v>
      </c>
      <c r="C151" s="41" t="s">
        <v>231</v>
      </c>
      <c r="D151" s="41" t="s">
        <v>475</v>
      </c>
      <c r="E151" s="41"/>
      <c r="F151" s="42" t="s">
        <v>344</v>
      </c>
      <c r="G151" s="55">
        <v>43466</v>
      </c>
      <c r="H151" s="55">
        <v>43830</v>
      </c>
      <c r="I151" s="63" t="s">
        <v>95</v>
      </c>
      <c r="J151" s="63" t="s">
        <v>364</v>
      </c>
      <c r="K151" s="63" t="s">
        <v>126</v>
      </c>
      <c r="L151" s="53">
        <v>241</v>
      </c>
      <c r="M151" s="64">
        <v>1142.1</v>
      </c>
      <c r="N151" s="64">
        <v>1142.1</v>
      </c>
      <c r="O151" s="64">
        <f>1210-70.00773</f>
        <v>1139.99227</v>
      </c>
      <c r="P151" s="64">
        <f>O151</f>
        <v>1139.99227</v>
      </c>
      <c r="Q151" s="53" t="s">
        <v>140</v>
      </c>
      <c r="R151" s="46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ht="59.25" customHeight="1">
      <c r="A152" s="53"/>
      <c r="B152" s="53"/>
      <c r="C152" s="41"/>
      <c r="D152" s="41" t="s">
        <v>187</v>
      </c>
      <c r="E152" s="41"/>
      <c r="F152" s="42" t="s">
        <v>188</v>
      </c>
      <c r="G152" s="55"/>
      <c r="H152" s="53"/>
      <c r="I152" s="63"/>
      <c r="J152" s="63"/>
      <c r="K152" s="63"/>
      <c r="L152" s="53"/>
      <c r="M152" s="64"/>
      <c r="N152" s="64"/>
      <c r="O152" s="64"/>
      <c r="P152" s="64"/>
      <c r="Q152" s="53"/>
      <c r="R152" s="46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ht="92.25" customHeight="1">
      <c r="A153" s="53"/>
      <c r="B153" s="53"/>
      <c r="C153" s="41"/>
      <c r="D153" s="41" t="s">
        <v>58</v>
      </c>
      <c r="E153" s="41"/>
      <c r="F153" s="42" t="s">
        <v>189</v>
      </c>
      <c r="G153" s="55"/>
      <c r="H153" s="53"/>
      <c r="I153" s="63"/>
      <c r="J153" s="63"/>
      <c r="K153" s="63"/>
      <c r="L153" s="53"/>
      <c r="M153" s="64"/>
      <c r="N153" s="64"/>
      <c r="O153" s="64"/>
      <c r="P153" s="64"/>
      <c r="Q153" s="53"/>
      <c r="R153" s="46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ht="28.5" customHeight="1">
      <c r="A154" s="53" t="s">
        <v>571</v>
      </c>
      <c r="B154" s="63" t="s">
        <v>572</v>
      </c>
      <c r="C154" s="41" t="s">
        <v>573</v>
      </c>
      <c r="D154" s="75" t="s">
        <v>574</v>
      </c>
      <c r="E154" s="54"/>
      <c r="F154" s="53" t="s">
        <v>575</v>
      </c>
      <c r="G154" s="55">
        <v>43678</v>
      </c>
      <c r="H154" s="53" t="s">
        <v>9</v>
      </c>
      <c r="I154" s="63" t="s">
        <v>95</v>
      </c>
      <c r="J154" s="63" t="s">
        <v>576</v>
      </c>
      <c r="K154" s="56" t="s">
        <v>163</v>
      </c>
      <c r="L154" s="42">
        <v>200</v>
      </c>
      <c r="M154" s="57">
        <v>0</v>
      </c>
      <c r="N154" s="57">
        <v>0</v>
      </c>
      <c r="O154" s="57">
        <f>2580.25-350.24</f>
        <v>2230.01</v>
      </c>
      <c r="P154" s="57">
        <f>O154</f>
        <v>2230.01</v>
      </c>
      <c r="Q154" s="53" t="s">
        <v>140</v>
      </c>
      <c r="R154" s="46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ht="28.5" customHeight="1">
      <c r="A155" s="53"/>
      <c r="B155" s="61"/>
      <c r="C155" s="60"/>
      <c r="D155" s="79"/>
      <c r="E155" s="59"/>
      <c r="F155" s="61"/>
      <c r="G155" s="61"/>
      <c r="H155" s="53"/>
      <c r="I155" s="61"/>
      <c r="J155" s="61"/>
      <c r="K155" s="56" t="s">
        <v>159</v>
      </c>
      <c r="L155" s="42" t="s">
        <v>128</v>
      </c>
      <c r="M155" s="57">
        <v>0</v>
      </c>
      <c r="N155" s="57">
        <v>0</v>
      </c>
      <c r="O155" s="57">
        <f>1103.2+1053</f>
        <v>2156.2</v>
      </c>
      <c r="P155" s="57">
        <f>O155*1.04</f>
        <v>2242.448</v>
      </c>
      <c r="Q155" s="53"/>
      <c r="R155" s="46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ht="28.5" customHeight="1">
      <c r="A156" s="53"/>
      <c r="B156" s="61"/>
      <c r="C156" s="60"/>
      <c r="D156" s="81"/>
      <c r="E156" s="65"/>
      <c r="F156" s="61"/>
      <c r="G156" s="61"/>
      <c r="H156" s="53"/>
      <c r="I156" s="61"/>
      <c r="J156" s="61"/>
      <c r="K156" s="56" t="s">
        <v>164</v>
      </c>
      <c r="L156" s="42">
        <v>200</v>
      </c>
      <c r="M156" s="57">
        <v>0</v>
      </c>
      <c r="N156" s="57">
        <v>0</v>
      </c>
      <c r="O156" s="57">
        <v>0</v>
      </c>
      <c r="P156" s="57">
        <f>O156</f>
        <v>0</v>
      </c>
      <c r="Q156" s="53"/>
      <c r="R156" s="46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ht="31.5" customHeight="1">
      <c r="A157" s="63" t="s">
        <v>436</v>
      </c>
      <c r="B157" s="53" t="s">
        <v>402</v>
      </c>
      <c r="C157" s="41" t="s">
        <v>74</v>
      </c>
      <c r="D157" s="41" t="s">
        <v>227</v>
      </c>
      <c r="E157" s="41"/>
      <c r="F157" s="53" t="s">
        <v>268</v>
      </c>
      <c r="G157" s="55">
        <v>41312</v>
      </c>
      <c r="H157" s="53" t="s">
        <v>9</v>
      </c>
      <c r="I157" s="63" t="s">
        <v>95</v>
      </c>
      <c r="J157" s="53">
        <v>4030005210</v>
      </c>
      <c r="K157" s="56" t="s">
        <v>159</v>
      </c>
      <c r="L157" s="42" t="s">
        <v>128</v>
      </c>
      <c r="M157" s="57">
        <v>667</v>
      </c>
      <c r="N157" s="57">
        <v>652.1</v>
      </c>
      <c r="O157" s="57">
        <v>734</v>
      </c>
      <c r="P157" s="57">
        <f>O157*1.04</f>
        <v>763.36</v>
      </c>
      <c r="Q157" s="53" t="s">
        <v>140</v>
      </c>
      <c r="R157" s="46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ht="29.25" customHeight="1">
      <c r="A158" s="61"/>
      <c r="B158" s="61"/>
      <c r="C158" s="60"/>
      <c r="D158" s="60"/>
      <c r="E158" s="60"/>
      <c r="F158" s="143"/>
      <c r="G158" s="61"/>
      <c r="H158" s="61"/>
      <c r="I158" s="61"/>
      <c r="J158" s="61"/>
      <c r="K158" s="56" t="s">
        <v>165</v>
      </c>
      <c r="L158" s="42">
        <v>200</v>
      </c>
      <c r="M158" s="57">
        <v>285</v>
      </c>
      <c r="N158" s="57">
        <v>285</v>
      </c>
      <c r="O158" s="57">
        <v>285</v>
      </c>
      <c r="P158" s="57">
        <f>O158*1</f>
        <v>285</v>
      </c>
      <c r="Q158" s="61"/>
      <c r="R158" s="46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ht="36.75" customHeight="1">
      <c r="A159" s="53" t="s">
        <v>436</v>
      </c>
      <c r="B159" s="53" t="s">
        <v>117</v>
      </c>
      <c r="C159" s="41" t="s">
        <v>234</v>
      </c>
      <c r="D159" s="41" t="s">
        <v>282</v>
      </c>
      <c r="E159" s="41"/>
      <c r="F159" s="53" t="s">
        <v>177</v>
      </c>
      <c r="G159" s="55">
        <v>42370</v>
      </c>
      <c r="H159" s="55">
        <v>44196</v>
      </c>
      <c r="I159" s="63" t="s">
        <v>146</v>
      </c>
      <c r="J159" s="63" t="s">
        <v>365</v>
      </c>
      <c r="K159" s="56" t="s">
        <v>159</v>
      </c>
      <c r="L159" s="42" t="s">
        <v>128</v>
      </c>
      <c r="M159" s="57">
        <v>208.3</v>
      </c>
      <c r="N159" s="57">
        <v>208.2</v>
      </c>
      <c r="O159" s="57">
        <f>229.8+50.6</f>
        <v>280.40000000000003</v>
      </c>
      <c r="P159" s="24">
        <v>272.8</v>
      </c>
      <c r="Q159" s="53" t="s">
        <v>135</v>
      </c>
      <c r="R159" s="46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ht="36.75" customHeight="1">
      <c r="A160" s="53"/>
      <c r="B160" s="53"/>
      <c r="C160" s="41"/>
      <c r="D160" s="41"/>
      <c r="E160" s="41"/>
      <c r="F160" s="53"/>
      <c r="G160" s="55"/>
      <c r="H160" s="55"/>
      <c r="I160" s="63"/>
      <c r="J160" s="63"/>
      <c r="K160" s="56" t="s">
        <v>163</v>
      </c>
      <c r="L160" s="42">
        <v>200</v>
      </c>
      <c r="M160" s="57">
        <v>8.9</v>
      </c>
      <c r="N160" s="57">
        <v>8.9</v>
      </c>
      <c r="O160" s="57">
        <v>0</v>
      </c>
      <c r="P160" s="24">
        <v>0</v>
      </c>
      <c r="Q160" s="53"/>
      <c r="R160" s="46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ht="31.5" customHeight="1">
      <c r="A161" s="53"/>
      <c r="B161" s="53"/>
      <c r="C161" s="41"/>
      <c r="D161" s="41"/>
      <c r="E161" s="41"/>
      <c r="F161" s="143"/>
      <c r="G161" s="53"/>
      <c r="H161" s="53"/>
      <c r="I161" s="63"/>
      <c r="J161" s="63"/>
      <c r="K161" s="56" t="s">
        <v>126</v>
      </c>
      <c r="L161" s="42">
        <v>241</v>
      </c>
      <c r="M161" s="57">
        <v>535</v>
      </c>
      <c r="N161" s="57">
        <v>534.9</v>
      </c>
      <c r="O161" s="57">
        <f>770.2-20</f>
        <v>750.2</v>
      </c>
      <c r="P161" s="24">
        <v>788.4</v>
      </c>
      <c r="Q161" s="61"/>
      <c r="R161" s="46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ht="23.25" customHeight="1">
      <c r="A162" s="53" t="s">
        <v>452</v>
      </c>
      <c r="B162" s="39" t="s">
        <v>21</v>
      </c>
      <c r="C162" s="41" t="s">
        <v>75</v>
      </c>
      <c r="D162" s="41" t="s">
        <v>233</v>
      </c>
      <c r="E162" s="41"/>
      <c r="F162" s="53" t="s">
        <v>270</v>
      </c>
      <c r="G162" s="55">
        <v>41811</v>
      </c>
      <c r="H162" s="53" t="s">
        <v>134</v>
      </c>
      <c r="I162" s="63" t="s">
        <v>146</v>
      </c>
      <c r="J162" s="63" t="s">
        <v>217</v>
      </c>
      <c r="K162" s="56" t="s">
        <v>163</v>
      </c>
      <c r="L162" s="42">
        <v>200</v>
      </c>
      <c r="M162" s="57">
        <v>32730.6</v>
      </c>
      <c r="N162" s="57">
        <v>32040.9</v>
      </c>
      <c r="O162" s="57">
        <v>32287.5</v>
      </c>
      <c r="P162" s="24">
        <f>O162</f>
        <v>32287.5</v>
      </c>
      <c r="Q162" s="53" t="s">
        <v>140</v>
      </c>
      <c r="R162" s="46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ht="23.25" customHeight="1">
      <c r="A163" s="53"/>
      <c r="B163" s="77"/>
      <c r="C163" s="41"/>
      <c r="D163" s="41"/>
      <c r="E163" s="41"/>
      <c r="F163" s="61"/>
      <c r="G163" s="55"/>
      <c r="H163" s="53"/>
      <c r="I163" s="53"/>
      <c r="J163" s="53"/>
      <c r="K163" s="42">
        <v>200</v>
      </c>
      <c r="L163" s="42" t="s">
        <v>128</v>
      </c>
      <c r="M163" s="57">
        <v>7362.4</v>
      </c>
      <c r="N163" s="57">
        <v>6438.7</v>
      </c>
      <c r="O163" s="57">
        <v>7908.5</v>
      </c>
      <c r="P163" s="24">
        <f>O163</f>
        <v>7908.5</v>
      </c>
      <c r="Q163" s="53"/>
      <c r="R163" s="46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ht="23.25" customHeight="1">
      <c r="A164" s="53"/>
      <c r="B164" s="47"/>
      <c r="C164" s="41"/>
      <c r="D164" s="41"/>
      <c r="E164" s="41"/>
      <c r="F164" s="61"/>
      <c r="G164" s="53"/>
      <c r="H164" s="53"/>
      <c r="I164" s="53"/>
      <c r="J164" s="61"/>
      <c r="K164" s="56" t="s">
        <v>164</v>
      </c>
      <c r="L164" s="42">
        <v>200</v>
      </c>
      <c r="M164" s="57">
        <v>1069.2</v>
      </c>
      <c r="N164" s="57">
        <v>1012.9</v>
      </c>
      <c r="O164" s="57">
        <v>1012.2</v>
      </c>
      <c r="P164" s="24">
        <f>O164</f>
        <v>1012.2</v>
      </c>
      <c r="Q164" s="53"/>
      <c r="R164" s="46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ht="28.5" customHeight="1">
      <c r="A165" s="39" t="s">
        <v>459</v>
      </c>
      <c r="B165" s="53" t="s">
        <v>251</v>
      </c>
      <c r="C165" s="41" t="s">
        <v>399</v>
      </c>
      <c r="D165" s="41" t="s">
        <v>400</v>
      </c>
      <c r="E165" s="41"/>
      <c r="F165" s="39" t="s">
        <v>178</v>
      </c>
      <c r="G165" s="55">
        <v>41356</v>
      </c>
      <c r="H165" s="53" t="s">
        <v>134</v>
      </c>
      <c r="I165" s="63" t="s">
        <v>146</v>
      </c>
      <c r="J165" s="63" t="s">
        <v>401</v>
      </c>
      <c r="K165" s="56" t="s">
        <v>163</v>
      </c>
      <c r="L165" s="56" t="s">
        <v>159</v>
      </c>
      <c r="M165" s="57">
        <v>28727.8</v>
      </c>
      <c r="N165" s="57">
        <v>28645.1</v>
      </c>
      <c r="O165" s="57">
        <v>29120.4</v>
      </c>
      <c r="P165" s="24">
        <f>O165</f>
        <v>29120.4</v>
      </c>
      <c r="Q165" s="53" t="s">
        <v>140</v>
      </c>
      <c r="R165" s="46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ht="27" customHeight="1">
      <c r="A166" s="77"/>
      <c r="B166" s="53"/>
      <c r="C166" s="41"/>
      <c r="D166" s="41"/>
      <c r="E166" s="41"/>
      <c r="F166" s="77"/>
      <c r="G166" s="55"/>
      <c r="H166" s="53"/>
      <c r="I166" s="63"/>
      <c r="J166" s="63"/>
      <c r="K166" s="56" t="s">
        <v>159</v>
      </c>
      <c r="L166" s="56" t="s">
        <v>128</v>
      </c>
      <c r="M166" s="57">
        <v>2867.9</v>
      </c>
      <c r="N166" s="57">
        <v>2643.4</v>
      </c>
      <c r="O166" s="57">
        <f>2830.1-146</f>
        <v>2684.1</v>
      </c>
      <c r="P166" s="24">
        <f>O166*1.04</f>
        <v>2791.464</v>
      </c>
      <c r="Q166" s="61"/>
      <c r="R166" s="46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ht="25.5" customHeight="1">
      <c r="A167" s="77"/>
      <c r="B167" s="53"/>
      <c r="C167" s="41"/>
      <c r="D167" s="41"/>
      <c r="E167" s="41"/>
      <c r="F167" s="77"/>
      <c r="G167" s="55"/>
      <c r="H167" s="53"/>
      <c r="I167" s="63"/>
      <c r="J167" s="63"/>
      <c r="K167" s="56" t="s">
        <v>165</v>
      </c>
      <c r="L167" s="56" t="s">
        <v>159</v>
      </c>
      <c r="M167" s="57">
        <v>0</v>
      </c>
      <c r="N167" s="57">
        <v>0</v>
      </c>
      <c r="O167" s="57">
        <v>0</v>
      </c>
      <c r="P167" s="24">
        <f>O167</f>
        <v>0</v>
      </c>
      <c r="Q167" s="61"/>
      <c r="R167" s="46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ht="34.5" customHeight="1">
      <c r="A168" s="47"/>
      <c r="B168" s="53"/>
      <c r="C168" s="41"/>
      <c r="D168" s="41"/>
      <c r="E168" s="41"/>
      <c r="F168" s="47"/>
      <c r="G168" s="55"/>
      <c r="H168" s="53"/>
      <c r="I168" s="63"/>
      <c r="J168" s="63"/>
      <c r="K168" s="56" t="s">
        <v>164</v>
      </c>
      <c r="L168" s="56" t="s">
        <v>159</v>
      </c>
      <c r="M168" s="57">
        <v>22.5</v>
      </c>
      <c r="N168" s="57">
        <v>12.5</v>
      </c>
      <c r="O168" s="57">
        <v>53.5</v>
      </c>
      <c r="P168" s="24">
        <f>O168</f>
        <v>53.5</v>
      </c>
      <c r="Q168" s="61"/>
      <c r="R168" s="46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ht="28.5" customHeight="1">
      <c r="A169" s="53" t="s">
        <v>458</v>
      </c>
      <c r="B169" s="63" t="s">
        <v>253</v>
      </c>
      <c r="C169" s="41" t="s">
        <v>408</v>
      </c>
      <c r="D169" s="75" t="s">
        <v>409</v>
      </c>
      <c r="E169" s="54"/>
      <c r="F169" s="53" t="s">
        <v>270</v>
      </c>
      <c r="G169" s="55">
        <v>43282</v>
      </c>
      <c r="H169" s="53" t="s">
        <v>9</v>
      </c>
      <c r="I169" s="63" t="s">
        <v>115</v>
      </c>
      <c r="J169" s="63" t="s">
        <v>410</v>
      </c>
      <c r="K169" s="56" t="s">
        <v>163</v>
      </c>
      <c r="L169" s="42">
        <v>200</v>
      </c>
      <c r="M169" s="57">
        <v>27061.65</v>
      </c>
      <c r="N169" s="57">
        <v>27061.45</v>
      </c>
      <c r="O169" s="57">
        <f>48441.9-129.6</f>
        <v>48312.3</v>
      </c>
      <c r="P169" s="57">
        <f>O169</f>
        <v>48312.3</v>
      </c>
      <c r="Q169" s="53" t="s">
        <v>140</v>
      </c>
      <c r="R169" s="46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ht="28.5" customHeight="1">
      <c r="A170" s="53"/>
      <c r="B170" s="61"/>
      <c r="C170" s="60"/>
      <c r="D170" s="79"/>
      <c r="E170" s="59"/>
      <c r="F170" s="61"/>
      <c r="G170" s="61"/>
      <c r="H170" s="53"/>
      <c r="I170" s="61"/>
      <c r="J170" s="61"/>
      <c r="K170" s="56" t="s">
        <v>159</v>
      </c>
      <c r="L170" s="42" t="s">
        <v>128</v>
      </c>
      <c r="M170" s="57">
        <v>3655.32</v>
      </c>
      <c r="N170" s="57">
        <v>3644.024</v>
      </c>
      <c r="O170" s="57">
        <f>6622.7+119.2</f>
        <v>6741.9</v>
      </c>
      <c r="P170" s="57">
        <f>O170*1.04</f>
        <v>7011.576</v>
      </c>
      <c r="Q170" s="53"/>
      <c r="R170" s="46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ht="28.5" customHeight="1">
      <c r="A171" s="53"/>
      <c r="B171" s="61"/>
      <c r="C171" s="60"/>
      <c r="D171" s="81"/>
      <c r="E171" s="65"/>
      <c r="F171" s="61"/>
      <c r="G171" s="61"/>
      <c r="H171" s="53"/>
      <c r="I171" s="61"/>
      <c r="J171" s="61"/>
      <c r="K171" s="56" t="s">
        <v>164</v>
      </c>
      <c r="L171" s="42">
        <v>200</v>
      </c>
      <c r="M171" s="57">
        <v>12.7</v>
      </c>
      <c r="N171" s="57">
        <v>12.699</v>
      </c>
      <c r="O171" s="57">
        <f>4.9+10.4</f>
        <v>15.3</v>
      </c>
      <c r="P171" s="57">
        <f>O171</f>
        <v>15.3</v>
      </c>
      <c r="Q171" s="53"/>
      <c r="R171" s="46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ht="105" customHeight="1">
      <c r="A172" s="53">
        <v>812</v>
      </c>
      <c r="B172" s="53" t="s">
        <v>254</v>
      </c>
      <c r="C172" s="41" t="s">
        <v>437</v>
      </c>
      <c r="D172" s="41" t="s">
        <v>474</v>
      </c>
      <c r="E172" s="41"/>
      <c r="F172" s="42" t="s">
        <v>209</v>
      </c>
      <c r="G172" s="55" t="s">
        <v>26</v>
      </c>
      <c r="H172" s="53" t="s">
        <v>9</v>
      </c>
      <c r="I172" s="144" t="s">
        <v>115</v>
      </c>
      <c r="J172" s="63" t="s">
        <v>366</v>
      </c>
      <c r="K172" s="63" t="s">
        <v>126</v>
      </c>
      <c r="L172" s="53">
        <v>241</v>
      </c>
      <c r="M172" s="64">
        <v>89274.1</v>
      </c>
      <c r="N172" s="64">
        <v>89274.1</v>
      </c>
      <c r="O172" s="64">
        <v>71312.7</v>
      </c>
      <c r="P172" s="145">
        <f>O172*1.04</f>
        <v>74165.208</v>
      </c>
      <c r="Q172" s="53" t="s">
        <v>140</v>
      </c>
      <c r="R172" s="46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ht="60" customHeight="1">
      <c r="A173" s="53"/>
      <c r="B173" s="53"/>
      <c r="C173" s="41"/>
      <c r="D173" s="41" t="s">
        <v>187</v>
      </c>
      <c r="E173" s="41"/>
      <c r="F173" s="42" t="s">
        <v>272</v>
      </c>
      <c r="G173" s="55"/>
      <c r="H173" s="53"/>
      <c r="I173" s="144"/>
      <c r="J173" s="63"/>
      <c r="K173" s="63"/>
      <c r="L173" s="53"/>
      <c r="M173" s="64"/>
      <c r="N173" s="64"/>
      <c r="O173" s="64"/>
      <c r="P173" s="145"/>
      <c r="Q173" s="53"/>
      <c r="R173" s="46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ht="87.75" customHeight="1">
      <c r="A174" s="53"/>
      <c r="B174" s="53"/>
      <c r="C174" s="41"/>
      <c r="D174" s="41" t="s">
        <v>58</v>
      </c>
      <c r="E174" s="41"/>
      <c r="F174" s="42" t="s">
        <v>189</v>
      </c>
      <c r="G174" s="55"/>
      <c r="H174" s="53"/>
      <c r="I174" s="144"/>
      <c r="J174" s="63"/>
      <c r="K174" s="63"/>
      <c r="L174" s="53"/>
      <c r="M174" s="64"/>
      <c r="N174" s="64"/>
      <c r="O174" s="64"/>
      <c r="P174" s="145"/>
      <c r="Q174" s="53"/>
      <c r="R174" s="46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ht="87" customHeight="1">
      <c r="A175" s="53">
        <v>812</v>
      </c>
      <c r="B175" s="53" t="s">
        <v>255</v>
      </c>
      <c r="C175" s="41" t="s">
        <v>358</v>
      </c>
      <c r="D175" s="41" t="s">
        <v>230</v>
      </c>
      <c r="E175" s="41"/>
      <c r="F175" s="42" t="s">
        <v>209</v>
      </c>
      <c r="G175" s="55">
        <v>43466</v>
      </c>
      <c r="H175" s="55">
        <v>43830</v>
      </c>
      <c r="I175" s="63" t="s">
        <v>115</v>
      </c>
      <c r="J175" s="63" t="s">
        <v>406</v>
      </c>
      <c r="K175" s="63" t="s">
        <v>126</v>
      </c>
      <c r="L175" s="53">
        <v>241</v>
      </c>
      <c r="M175" s="64">
        <v>10253</v>
      </c>
      <c r="N175" s="64">
        <v>10246.9</v>
      </c>
      <c r="O175" s="64">
        <f>200-2.8</f>
        <v>197.2</v>
      </c>
      <c r="P175" s="64">
        <v>0</v>
      </c>
      <c r="Q175" s="53" t="s">
        <v>140</v>
      </c>
      <c r="R175" s="46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ht="57" customHeight="1">
      <c r="A176" s="53"/>
      <c r="B176" s="53"/>
      <c r="C176" s="41"/>
      <c r="D176" s="41" t="s">
        <v>187</v>
      </c>
      <c r="E176" s="41"/>
      <c r="F176" s="42" t="s">
        <v>188</v>
      </c>
      <c r="G176" s="55"/>
      <c r="H176" s="53"/>
      <c r="I176" s="63"/>
      <c r="J176" s="63"/>
      <c r="K176" s="63"/>
      <c r="L176" s="53"/>
      <c r="M176" s="64"/>
      <c r="N176" s="64"/>
      <c r="O176" s="64"/>
      <c r="P176" s="64"/>
      <c r="Q176" s="53"/>
      <c r="R176" s="46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ht="99" customHeight="1">
      <c r="A177" s="53"/>
      <c r="B177" s="53"/>
      <c r="C177" s="41"/>
      <c r="D177" s="41" t="s">
        <v>58</v>
      </c>
      <c r="E177" s="41"/>
      <c r="F177" s="42" t="s">
        <v>189</v>
      </c>
      <c r="G177" s="55"/>
      <c r="H177" s="53"/>
      <c r="I177" s="63"/>
      <c r="J177" s="63"/>
      <c r="K177" s="63"/>
      <c r="L177" s="53"/>
      <c r="M177" s="64"/>
      <c r="N177" s="64"/>
      <c r="O177" s="64"/>
      <c r="P177" s="64"/>
      <c r="Q177" s="53"/>
      <c r="R177" s="46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ht="87" customHeight="1">
      <c r="A178" s="53">
        <v>812</v>
      </c>
      <c r="B178" s="53" t="s">
        <v>518</v>
      </c>
      <c r="C178" s="41" t="s">
        <v>519</v>
      </c>
      <c r="D178" s="41" t="s">
        <v>230</v>
      </c>
      <c r="E178" s="41"/>
      <c r="F178" s="42" t="s">
        <v>209</v>
      </c>
      <c r="G178" s="55">
        <v>43524</v>
      </c>
      <c r="H178" s="55">
        <v>43830</v>
      </c>
      <c r="I178" s="63" t="s">
        <v>115</v>
      </c>
      <c r="J178" s="63" t="s">
        <v>520</v>
      </c>
      <c r="K178" s="63" t="s">
        <v>126</v>
      </c>
      <c r="L178" s="53">
        <v>241</v>
      </c>
      <c r="M178" s="64">
        <v>0</v>
      </c>
      <c r="N178" s="64">
        <v>0</v>
      </c>
      <c r="O178" s="64">
        <f>4812.45+309.1+300</f>
        <v>5421.55</v>
      </c>
      <c r="P178" s="64">
        <v>0</v>
      </c>
      <c r="Q178" s="53" t="s">
        <v>140</v>
      </c>
      <c r="R178" s="46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ht="58.5" customHeight="1">
      <c r="A179" s="53"/>
      <c r="B179" s="53"/>
      <c r="C179" s="41"/>
      <c r="D179" s="41" t="s">
        <v>187</v>
      </c>
      <c r="E179" s="41"/>
      <c r="F179" s="42" t="s">
        <v>188</v>
      </c>
      <c r="G179" s="55"/>
      <c r="H179" s="53"/>
      <c r="I179" s="63"/>
      <c r="J179" s="63"/>
      <c r="K179" s="63"/>
      <c r="L179" s="53"/>
      <c r="M179" s="64"/>
      <c r="N179" s="64"/>
      <c r="O179" s="64"/>
      <c r="P179" s="64"/>
      <c r="Q179" s="53"/>
      <c r="R179" s="46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ht="84" customHeight="1">
      <c r="A180" s="53"/>
      <c r="B180" s="53"/>
      <c r="C180" s="41"/>
      <c r="D180" s="41" t="s">
        <v>58</v>
      </c>
      <c r="E180" s="41"/>
      <c r="F180" s="42" t="s">
        <v>189</v>
      </c>
      <c r="G180" s="55"/>
      <c r="H180" s="53"/>
      <c r="I180" s="63"/>
      <c r="J180" s="63"/>
      <c r="K180" s="63"/>
      <c r="L180" s="53"/>
      <c r="M180" s="64"/>
      <c r="N180" s="64"/>
      <c r="O180" s="64"/>
      <c r="P180" s="64"/>
      <c r="Q180" s="53"/>
      <c r="R180" s="46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ht="54" customHeight="1">
      <c r="A181" s="42">
        <v>812</v>
      </c>
      <c r="B181" s="42" t="s">
        <v>256</v>
      </c>
      <c r="C181" s="67" t="s">
        <v>393</v>
      </c>
      <c r="D181" s="41" t="s">
        <v>181</v>
      </c>
      <c r="E181" s="41"/>
      <c r="F181" s="42" t="s">
        <v>394</v>
      </c>
      <c r="G181" s="43">
        <v>37686</v>
      </c>
      <c r="H181" s="42" t="s">
        <v>134</v>
      </c>
      <c r="I181" s="56" t="s">
        <v>115</v>
      </c>
      <c r="J181" s="56" t="s">
        <v>395</v>
      </c>
      <c r="K181" s="56" t="s">
        <v>164</v>
      </c>
      <c r="L181" s="42">
        <v>242</v>
      </c>
      <c r="M181" s="57">
        <v>5047.8</v>
      </c>
      <c r="N181" s="57">
        <v>5047.8</v>
      </c>
      <c r="O181" s="57">
        <v>3383</v>
      </c>
      <c r="P181" s="57">
        <f>O181</f>
        <v>3383</v>
      </c>
      <c r="Q181" s="42" t="s">
        <v>140</v>
      </c>
      <c r="R181" s="46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ht="59.25" customHeight="1">
      <c r="A182" s="39" t="s">
        <v>436</v>
      </c>
      <c r="B182" s="44" t="s">
        <v>257</v>
      </c>
      <c r="C182" s="40" t="s">
        <v>241</v>
      </c>
      <c r="D182" s="41" t="s">
        <v>240</v>
      </c>
      <c r="E182" s="41"/>
      <c r="F182" s="42" t="s">
        <v>268</v>
      </c>
      <c r="G182" s="43">
        <v>41312</v>
      </c>
      <c r="H182" s="39" t="s">
        <v>9</v>
      </c>
      <c r="I182" s="44" t="s">
        <v>152</v>
      </c>
      <c r="J182" s="44" t="s">
        <v>367</v>
      </c>
      <c r="K182" s="56" t="s">
        <v>159</v>
      </c>
      <c r="L182" s="39">
        <v>200</v>
      </c>
      <c r="M182" s="57">
        <v>371.4</v>
      </c>
      <c r="N182" s="57">
        <v>349.5</v>
      </c>
      <c r="O182" s="57">
        <v>388.3</v>
      </c>
      <c r="P182" s="57">
        <f>O182*1.04</f>
        <v>403.83200000000005</v>
      </c>
      <c r="Q182" s="39" t="s">
        <v>140</v>
      </c>
      <c r="R182" s="46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ht="67.5" customHeight="1">
      <c r="A183" s="47"/>
      <c r="B183" s="51"/>
      <c r="C183" s="48"/>
      <c r="D183" s="49" t="s">
        <v>329</v>
      </c>
      <c r="E183" s="50"/>
      <c r="F183" s="42" t="s">
        <v>276</v>
      </c>
      <c r="G183" s="43">
        <v>42696</v>
      </c>
      <c r="H183" s="47"/>
      <c r="I183" s="51"/>
      <c r="J183" s="51"/>
      <c r="K183" s="56" t="s">
        <v>165</v>
      </c>
      <c r="L183" s="47"/>
      <c r="M183" s="57">
        <v>307.5</v>
      </c>
      <c r="N183" s="57">
        <v>301.5</v>
      </c>
      <c r="O183" s="57">
        <f>472.5-96</f>
        <v>376.5</v>
      </c>
      <c r="P183" s="57">
        <f>O183</f>
        <v>376.5</v>
      </c>
      <c r="Q183" s="47"/>
      <c r="R183" s="46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ht="28.5" customHeight="1">
      <c r="A184" s="53" t="s">
        <v>436</v>
      </c>
      <c r="B184" s="63" t="s">
        <v>258</v>
      </c>
      <c r="C184" s="41" t="s">
        <v>403</v>
      </c>
      <c r="D184" s="41" t="s">
        <v>240</v>
      </c>
      <c r="E184" s="41"/>
      <c r="F184" s="53" t="s">
        <v>270</v>
      </c>
      <c r="G184" s="55">
        <v>41312</v>
      </c>
      <c r="H184" s="53" t="s">
        <v>9</v>
      </c>
      <c r="I184" s="63" t="s">
        <v>152</v>
      </c>
      <c r="J184" s="63" t="s">
        <v>217</v>
      </c>
      <c r="K184" s="56" t="s">
        <v>163</v>
      </c>
      <c r="L184" s="42">
        <v>200</v>
      </c>
      <c r="M184" s="57">
        <v>17665.7</v>
      </c>
      <c r="N184" s="57">
        <v>17570.8</v>
      </c>
      <c r="O184" s="57">
        <f>17997.2-141.3</f>
        <v>17855.9</v>
      </c>
      <c r="P184" s="57">
        <f>O184</f>
        <v>17855.9</v>
      </c>
      <c r="Q184" s="53" t="s">
        <v>140</v>
      </c>
      <c r="R184" s="46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ht="28.5" customHeight="1">
      <c r="A185" s="53"/>
      <c r="B185" s="61"/>
      <c r="C185" s="60"/>
      <c r="D185" s="60"/>
      <c r="E185" s="60"/>
      <c r="F185" s="61"/>
      <c r="G185" s="61"/>
      <c r="H185" s="53"/>
      <c r="I185" s="61"/>
      <c r="J185" s="61"/>
      <c r="K185" s="56" t="s">
        <v>159</v>
      </c>
      <c r="L185" s="42" t="s">
        <v>128</v>
      </c>
      <c r="M185" s="57">
        <v>2399.7</v>
      </c>
      <c r="N185" s="57">
        <v>2294.7</v>
      </c>
      <c r="O185" s="57">
        <f>3162.5-187.7</f>
        <v>2974.8</v>
      </c>
      <c r="P185" s="57">
        <f>O185*1.04</f>
        <v>3093.7920000000004</v>
      </c>
      <c r="Q185" s="53"/>
      <c r="R185" s="46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ht="28.5" customHeight="1">
      <c r="A186" s="53"/>
      <c r="B186" s="61"/>
      <c r="C186" s="60"/>
      <c r="D186" s="60"/>
      <c r="E186" s="60"/>
      <c r="F186" s="61"/>
      <c r="G186" s="61"/>
      <c r="H186" s="53"/>
      <c r="I186" s="61"/>
      <c r="J186" s="61"/>
      <c r="K186" s="56" t="s">
        <v>164</v>
      </c>
      <c r="L186" s="42">
        <v>200</v>
      </c>
      <c r="M186" s="57">
        <v>11</v>
      </c>
      <c r="N186" s="57">
        <v>5.9</v>
      </c>
      <c r="O186" s="57">
        <v>23.3</v>
      </c>
      <c r="P186" s="57">
        <f>O186</f>
        <v>23.3</v>
      </c>
      <c r="Q186" s="53"/>
      <c r="R186" s="46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ht="118.5" customHeight="1">
      <c r="A187" s="42" t="s">
        <v>460</v>
      </c>
      <c r="B187" s="42" t="s">
        <v>259</v>
      </c>
      <c r="C187" s="67" t="s">
        <v>76</v>
      </c>
      <c r="D187" s="41" t="s">
        <v>476</v>
      </c>
      <c r="E187" s="41"/>
      <c r="F187" s="42" t="s">
        <v>323</v>
      </c>
      <c r="G187" s="43">
        <v>42956</v>
      </c>
      <c r="H187" s="42" t="s">
        <v>9</v>
      </c>
      <c r="I187" s="56" t="s">
        <v>158</v>
      </c>
      <c r="J187" s="56" t="s">
        <v>368</v>
      </c>
      <c r="K187" s="56" t="s">
        <v>159</v>
      </c>
      <c r="L187" s="42" t="s">
        <v>128</v>
      </c>
      <c r="M187" s="57">
        <v>20319.8</v>
      </c>
      <c r="N187" s="57">
        <v>19915.2</v>
      </c>
      <c r="O187" s="57">
        <f>15300+8105.431</f>
        <v>23405.431</v>
      </c>
      <c r="P187" s="57">
        <f>O187*1.04</f>
        <v>24341.648240000002</v>
      </c>
      <c r="Q187" s="42" t="s">
        <v>140</v>
      </c>
      <c r="R187" s="46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ht="44.25" customHeight="1">
      <c r="A188" s="69" t="s">
        <v>460</v>
      </c>
      <c r="B188" s="69" t="s">
        <v>295</v>
      </c>
      <c r="C188" s="111" t="s">
        <v>279</v>
      </c>
      <c r="D188" s="41" t="s">
        <v>471</v>
      </c>
      <c r="E188" s="60"/>
      <c r="F188" s="42" t="s">
        <v>477</v>
      </c>
      <c r="G188" s="73">
        <v>43466</v>
      </c>
      <c r="H188" s="73">
        <v>43830</v>
      </c>
      <c r="I188" s="74" t="s">
        <v>158</v>
      </c>
      <c r="J188" s="74" t="s">
        <v>370</v>
      </c>
      <c r="K188" s="74" t="s">
        <v>159</v>
      </c>
      <c r="L188" s="69">
        <v>300</v>
      </c>
      <c r="M188" s="97">
        <v>1051.4</v>
      </c>
      <c r="N188" s="97">
        <v>770.1</v>
      </c>
      <c r="O188" s="97">
        <f>863.7-15.1+228</f>
        <v>1076.6</v>
      </c>
      <c r="P188" s="146">
        <v>868.9</v>
      </c>
      <c r="Q188" s="69" t="s">
        <v>138</v>
      </c>
      <c r="R188" s="46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ht="117.75" customHeight="1">
      <c r="A189" s="42" t="s">
        <v>460</v>
      </c>
      <c r="B189" s="42" t="s">
        <v>498</v>
      </c>
      <c r="C189" s="67" t="s">
        <v>499</v>
      </c>
      <c r="D189" s="41" t="s">
        <v>500</v>
      </c>
      <c r="E189" s="60"/>
      <c r="F189" s="42" t="s">
        <v>501</v>
      </c>
      <c r="G189" s="43">
        <v>43466</v>
      </c>
      <c r="H189" s="43">
        <v>43830</v>
      </c>
      <c r="I189" s="56" t="s">
        <v>158</v>
      </c>
      <c r="J189" s="56" t="s">
        <v>502</v>
      </c>
      <c r="K189" s="56" t="s">
        <v>159</v>
      </c>
      <c r="L189" s="42">
        <v>300</v>
      </c>
      <c r="M189" s="57">
        <v>0</v>
      </c>
      <c r="N189" s="57">
        <v>0</v>
      </c>
      <c r="O189" s="57">
        <f>2409.5+203.3+18.1</f>
        <v>2630.9</v>
      </c>
      <c r="P189" s="24">
        <v>0</v>
      </c>
      <c r="Q189" s="42" t="s">
        <v>138</v>
      </c>
      <c r="R189" s="46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ht="229.5" customHeight="1">
      <c r="A190" s="42" t="s">
        <v>460</v>
      </c>
      <c r="B190" s="42" t="s">
        <v>503</v>
      </c>
      <c r="C190" s="67" t="s">
        <v>504</v>
      </c>
      <c r="D190" s="41" t="s">
        <v>505</v>
      </c>
      <c r="E190" s="60"/>
      <c r="F190" s="42" t="s">
        <v>506</v>
      </c>
      <c r="G190" s="43">
        <v>43466</v>
      </c>
      <c r="H190" s="43">
        <v>43830</v>
      </c>
      <c r="I190" s="56" t="s">
        <v>158</v>
      </c>
      <c r="J190" s="56" t="s">
        <v>507</v>
      </c>
      <c r="K190" s="56" t="s">
        <v>159</v>
      </c>
      <c r="L190" s="42">
        <v>300</v>
      </c>
      <c r="M190" s="57">
        <v>0</v>
      </c>
      <c r="N190" s="57">
        <v>0</v>
      </c>
      <c r="O190" s="57">
        <v>20.4</v>
      </c>
      <c r="P190" s="24">
        <v>20.4</v>
      </c>
      <c r="Q190" s="42" t="s">
        <v>138</v>
      </c>
      <c r="R190" s="46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ht="106.5" customHeight="1">
      <c r="A191" s="39">
        <v>812</v>
      </c>
      <c r="B191" s="39" t="s">
        <v>6</v>
      </c>
      <c r="C191" s="98" t="s">
        <v>438</v>
      </c>
      <c r="D191" s="92" t="s">
        <v>474</v>
      </c>
      <c r="E191" s="93"/>
      <c r="F191" s="42" t="s">
        <v>209</v>
      </c>
      <c r="G191" s="76" t="s">
        <v>26</v>
      </c>
      <c r="H191" s="39" t="s">
        <v>9</v>
      </c>
      <c r="I191" s="44" t="s">
        <v>158</v>
      </c>
      <c r="J191" s="44" t="s">
        <v>369</v>
      </c>
      <c r="K191" s="44" t="s">
        <v>126</v>
      </c>
      <c r="L191" s="39">
        <v>241</v>
      </c>
      <c r="M191" s="45">
        <v>27648</v>
      </c>
      <c r="N191" s="45">
        <v>27648</v>
      </c>
      <c r="O191" s="45">
        <v>28909</v>
      </c>
      <c r="P191" s="147">
        <f>O191*1.04</f>
        <v>30065.36</v>
      </c>
      <c r="Q191" s="39" t="s">
        <v>140</v>
      </c>
      <c r="R191" s="46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ht="63.75" customHeight="1">
      <c r="A192" s="77"/>
      <c r="B192" s="77"/>
      <c r="C192" s="148"/>
      <c r="D192" s="92" t="s">
        <v>187</v>
      </c>
      <c r="E192" s="93"/>
      <c r="F192" s="42" t="s">
        <v>190</v>
      </c>
      <c r="G192" s="80"/>
      <c r="H192" s="77"/>
      <c r="I192" s="62"/>
      <c r="J192" s="62"/>
      <c r="K192" s="62"/>
      <c r="L192" s="77"/>
      <c r="M192" s="127"/>
      <c r="N192" s="127"/>
      <c r="O192" s="127"/>
      <c r="P192" s="149"/>
      <c r="Q192" s="77"/>
      <c r="R192" s="46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ht="94.5" customHeight="1">
      <c r="A193" s="47"/>
      <c r="B193" s="47"/>
      <c r="C193" s="150"/>
      <c r="D193" s="92" t="s">
        <v>58</v>
      </c>
      <c r="E193" s="93"/>
      <c r="F193" s="42" t="s">
        <v>189</v>
      </c>
      <c r="G193" s="82"/>
      <c r="H193" s="47"/>
      <c r="I193" s="51"/>
      <c r="J193" s="51"/>
      <c r="K193" s="51"/>
      <c r="L193" s="47"/>
      <c r="M193" s="52"/>
      <c r="N193" s="52"/>
      <c r="O193" s="52"/>
      <c r="P193" s="151"/>
      <c r="Q193" s="47"/>
      <c r="R193" s="46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ht="24.75" customHeight="1">
      <c r="A194" s="53" t="s">
        <v>460</v>
      </c>
      <c r="B194" s="53" t="s">
        <v>39</v>
      </c>
      <c r="C194" s="41" t="s">
        <v>407</v>
      </c>
      <c r="D194" s="41" t="s">
        <v>478</v>
      </c>
      <c r="E194" s="41"/>
      <c r="F194" s="53" t="s">
        <v>479</v>
      </c>
      <c r="G194" s="55">
        <v>43221</v>
      </c>
      <c r="H194" s="53" t="s">
        <v>9</v>
      </c>
      <c r="I194" s="63" t="s">
        <v>158</v>
      </c>
      <c r="J194" s="63" t="s">
        <v>217</v>
      </c>
      <c r="K194" s="56" t="s">
        <v>163</v>
      </c>
      <c r="L194" s="42">
        <v>200</v>
      </c>
      <c r="M194" s="57">
        <v>14003.5</v>
      </c>
      <c r="N194" s="57">
        <v>13846</v>
      </c>
      <c r="O194" s="57">
        <v>12983.3</v>
      </c>
      <c r="P194" s="24">
        <f>O194</f>
        <v>12983.3</v>
      </c>
      <c r="Q194" s="53" t="s">
        <v>140</v>
      </c>
      <c r="R194" s="46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ht="24.75" customHeight="1">
      <c r="A195" s="53"/>
      <c r="B195" s="53"/>
      <c r="C195" s="41"/>
      <c r="D195" s="60"/>
      <c r="E195" s="60"/>
      <c r="F195" s="61"/>
      <c r="G195" s="55"/>
      <c r="H195" s="53"/>
      <c r="I195" s="63"/>
      <c r="J195" s="63"/>
      <c r="K195" s="56" t="s">
        <v>159</v>
      </c>
      <c r="L195" s="42" t="s">
        <v>128</v>
      </c>
      <c r="M195" s="57">
        <v>1124.1</v>
      </c>
      <c r="N195" s="57">
        <v>1013.2</v>
      </c>
      <c r="O195" s="57">
        <v>1632.3</v>
      </c>
      <c r="P195" s="24">
        <f>O195*1.04</f>
        <v>1697.592</v>
      </c>
      <c r="Q195" s="53"/>
      <c r="R195" s="46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ht="24.75" customHeight="1">
      <c r="A196" s="53"/>
      <c r="B196" s="53"/>
      <c r="C196" s="41"/>
      <c r="D196" s="60"/>
      <c r="E196" s="60"/>
      <c r="F196" s="61"/>
      <c r="G196" s="55"/>
      <c r="H196" s="53"/>
      <c r="I196" s="63"/>
      <c r="J196" s="63"/>
      <c r="K196" s="56" t="s">
        <v>165</v>
      </c>
      <c r="L196" s="42">
        <v>200</v>
      </c>
      <c r="M196" s="57">
        <v>509.4</v>
      </c>
      <c r="N196" s="57">
        <v>509.4</v>
      </c>
      <c r="O196" s="57">
        <v>0</v>
      </c>
      <c r="P196" s="24">
        <v>0</v>
      </c>
      <c r="Q196" s="53"/>
      <c r="R196" s="46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ht="24.75" customHeight="1">
      <c r="A197" s="53"/>
      <c r="B197" s="53"/>
      <c r="C197" s="41"/>
      <c r="D197" s="60"/>
      <c r="E197" s="60"/>
      <c r="F197" s="61"/>
      <c r="G197" s="55"/>
      <c r="H197" s="53"/>
      <c r="I197" s="63"/>
      <c r="J197" s="53"/>
      <c r="K197" s="42">
        <v>800</v>
      </c>
      <c r="L197" s="42">
        <v>200</v>
      </c>
      <c r="M197" s="57">
        <v>32.2</v>
      </c>
      <c r="N197" s="57">
        <v>23</v>
      </c>
      <c r="O197" s="57">
        <v>20.4</v>
      </c>
      <c r="P197" s="24">
        <f>O197</f>
        <v>20.4</v>
      </c>
      <c r="Q197" s="53"/>
      <c r="R197" s="46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ht="102.75" customHeight="1">
      <c r="A198" s="42">
        <v>812</v>
      </c>
      <c r="B198" s="42" t="s">
        <v>521</v>
      </c>
      <c r="C198" s="67" t="s">
        <v>522</v>
      </c>
      <c r="D198" s="41" t="s">
        <v>538</v>
      </c>
      <c r="E198" s="102"/>
      <c r="F198" s="26" t="s">
        <v>539</v>
      </c>
      <c r="G198" s="43">
        <v>43466</v>
      </c>
      <c r="H198" s="43">
        <v>43830</v>
      </c>
      <c r="I198" s="56" t="s">
        <v>158</v>
      </c>
      <c r="J198" s="56" t="s">
        <v>523</v>
      </c>
      <c r="K198" s="56" t="s">
        <v>164</v>
      </c>
      <c r="L198" s="42">
        <v>242</v>
      </c>
      <c r="M198" s="57">
        <v>2635.2</v>
      </c>
      <c r="N198" s="57">
        <v>2635.2</v>
      </c>
      <c r="O198" s="57">
        <v>2023.9</v>
      </c>
      <c r="P198" s="57">
        <v>0</v>
      </c>
      <c r="Q198" s="42" t="s">
        <v>140</v>
      </c>
      <c r="R198" s="46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ht="68.25" customHeight="1">
      <c r="A199" s="42" t="s">
        <v>460</v>
      </c>
      <c r="B199" s="42" t="s">
        <v>296</v>
      </c>
      <c r="C199" s="67" t="s">
        <v>356</v>
      </c>
      <c r="D199" s="41" t="s">
        <v>471</v>
      </c>
      <c r="E199" s="60"/>
      <c r="F199" s="42" t="s">
        <v>480</v>
      </c>
      <c r="G199" s="43">
        <v>43466</v>
      </c>
      <c r="H199" s="43">
        <v>43830</v>
      </c>
      <c r="I199" s="56" t="s">
        <v>158</v>
      </c>
      <c r="J199" s="56" t="s">
        <v>357</v>
      </c>
      <c r="K199" s="56" t="s">
        <v>159</v>
      </c>
      <c r="L199" s="42">
        <v>200</v>
      </c>
      <c r="M199" s="57">
        <v>32.7</v>
      </c>
      <c r="N199" s="57">
        <v>0</v>
      </c>
      <c r="O199" s="57">
        <v>28.5</v>
      </c>
      <c r="P199" s="24">
        <v>28.5</v>
      </c>
      <c r="Q199" s="42" t="s">
        <v>138</v>
      </c>
      <c r="R199" s="46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ht="45.75" customHeight="1">
      <c r="A200" s="53" t="s">
        <v>461</v>
      </c>
      <c r="B200" s="53" t="s">
        <v>22</v>
      </c>
      <c r="C200" s="41" t="s">
        <v>245</v>
      </c>
      <c r="D200" s="41" t="s">
        <v>246</v>
      </c>
      <c r="E200" s="41"/>
      <c r="F200" s="39" t="s">
        <v>177</v>
      </c>
      <c r="G200" s="53" t="s">
        <v>15</v>
      </c>
      <c r="H200" s="53" t="s">
        <v>9</v>
      </c>
      <c r="I200" s="63" t="s">
        <v>13</v>
      </c>
      <c r="J200" s="63" t="s">
        <v>371</v>
      </c>
      <c r="K200" s="56" t="s">
        <v>159</v>
      </c>
      <c r="L200" s="42">
        <v>200</v>
      </c>
      <c r="M200" s="57">
        <v>138.6</v>
      </c>
      <c r="N200" s="57">
        <v>131.4</v>
      </c>
      <c r="O200" s="57">
        <f>228.1+40.5</f>
        <v>268.6</v>
      </c>
      <c r="P200" s="57">
        <f>O200*1.04</f>
        <v>279.34400000000005</v>
      </c>
      <c r="Q200" s="53" t="s">
        <v>136</v>
      </c>
      <c r="R200" s="46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ht="48" customHeight="1">
      <c r="A201" s="53"/>
      <c r="B201" s="53"/>
      <c r="C201" s="41"/>
      <c r="D201" s="60"/>
      <c r="E201" s="60"/>
      <c r="F201" s="47"/>
      <c r="G201" s="53"/>
      <c r="H201" s="53"/>
      <c r="I201" s="63"/>
      <c r="J201" s="63"/>
      <c r="K201" s="56" t="s">
        <v>165</v>
      </c>
      <c r="L201" s="42">
        <v>200</v>
      </c>
      <c r="M201" s="57">
        <v>28235</v>
      </c>
      <c r="N201" s="57">
        <v>28221</v>
      </c>
      <c r="O201" s="57">
        <f>25152.9+4459.5+2720.33</f>
        <v>32332.730000000003</v>
      </c>
      <c r="P201" s="57">
        <f>O201*1.04</f>
        <v>33626.03920000001</v>
      </c>
      <c r="Q201" s="53"/>
      <c r="R201" s="46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ht="102.75" customHeight="1">
      <c r="A202" s="53">
        <v>812</v>
      </c>
      <c r="B202" s="53" t="s">
        <v>40</v>
      </c>
      <c r="C202" s="41" t="s">
        <v>439</v>
      </c>
      <c r="D202" s="41" t="s">
        <v>474</v>
      </c>
      <c r="E202" s="41"/>
      <c r="F202" s="42" t="s">
        <v>209</v>
      </c>
      <c r="G202" s="55" t="s">
        <v>26</v>
      </c>
      <c r="H202" s="55" t="s">
        <v>9</v>
      </c>
      <c r="I202" s="63" t="s">
        <v>147</v>
      </c>
      <c r="J202" s="63" t="s">
        <v>372</v>
      </c>
      <c r="K202" s="63" t="s">
        <v>126</v>
      </c>
      <c r="L202" s="53">
        <v>241</v>
      </c>
      <c r="M202" s="64">
        <v>37852.4</v>
      </c>
      <c r="N202" s="64">
        <v>37852.4</v>
      </c>
      <c r="O202" s="64">
        <v>41020.9</v>
      </c>
      <c r="P202" s="145">
        <f>O202*1.04</f>
        <v>42661.736000000004</v>
      </c>
      <c r="Q202" s="53" t="s">
        <v>140</v>
      </c>
      <c r="R202" s="46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ht="94.5" customHeight="1">
      <c r="A203" s="53"/>
      <c r="B203" s="53"/>
      <c r="C203" s="41"/>
      <c r="D203" s="41" t="s">
        <v>58</v>
      </c>
      <c r="E203" s="41"/>
      <c r="F203" s="42" t="s">
        <v>189</v>
      </c>
      <c r="G203" s="55"/>
      <c r="H203" s="55"/>
      <c r="I203" s="63"/>
      <c r="J203" s="63"/>
      <c r="K203" s="63"/>
      <c r="L203" s="53"/>
      <c r="M203" s="64"/>
      <c r="N203" s="64"/>
      <c r="O203" s="64"/>
      <c r="P203" s="145"/>
      <c r="Q203" s="53"/>
      <c r="R203" s="46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ht="33.75" customHeight="1">
      <c r="A204" s="39">
        <v>812</v>
      </c>
      <c r="B204" s="39" t="s">
        <v>297</v>
      </c>
      <c r="C204" s="98" t="s">
        <v>78</v>
      </c>
      <c r="D204" s="75" t="s">
        <v>558</v>
      </c>
      <c r="E204" s="54"/>
      <c r="F204" s="152" t="s">
        <v>559</v>
      </c>
      <c r="G204" s="76">
        <v>34700</v>
      </c>
      <c r="H204" s="39" t="s">
        <v>9</v>
      </c>
      <c r="I204" s="39">
        <v>1003</v>
      </c>
      <c r="J204" s="39">
        <v>1000252900</v>
      </c>
      <c r="K204" s="56" t="s">
        <v>163</v>
      </c>
      <c r="L204" s="42">
        <v>200</v>
      </c>
      <c r="M204" s="57">
        <v>0</v>
      </c>
      <c r="N204" s="57">
        <v>0</v>
      </c>
      <c r="O204" s="57">
        <v>69.4</v>
      </c>
      <c r="P204" s="57">
        <v>0</v>
      </c>
      <c r="Q204" s="39" t="s">
        <v>136</v>
      </c>
      <c r="R204" s="46"/>
      <c r="S204" s="1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ht="33.75" customHeight="1">
      <c r="A205" s="77"/>
      <c r="B205" s="77"/>
      <c r="C205" s="148"/>
      <c r="D205" s="153"/>
      <c r="E205" s="154"/>
      <c r="F205" s="155"/>
      <c r="G205" s="80"/>
      <c r="H205" s="77"/>
      <c r="I205" s="77"/>
      <c r="J205" s="77"/>
      <c r="K205" s="56" t="s">
        <v>159</v>
      </c>
      <c r="L205" s="42">
        <v>200</v>
      </c>
      <c r="M205" s="57">
        <v>100</v>
      </c>
      <c r="N205" s="57">
        <v>75.8</v>
      </c>
      <c r="O205" s="57">
        <f>203.6+109+67.3</f>
        <v>379.90000000000003</v>
      </c>
      <c r="P205" s="57">
        <v>203.6</v>
      </c>
      <c r="Q205" s="77"/>
      <c r="R205" s="46"/>
      <c r="S205" s="1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ht="22.5" customHeight="1">
      <c r="A206" s="107"/>
      <c r="B206" s="107"/>
      <c r="C206" s="156"/>
      <c r="D206" s="75" t="s">
        <v>249</v>
      </c>
      <c r="E206" s="54"/>
      <c r="F206" s="39" t="s">
        <v>191</v>
      </c>
      <c r="G206" s="107"/>
      <c r="H206" s="107"/>
      <c r="I206" s="107"/>
      <c r="J206" s="107"/>
      <c r="K206" s="56" t="s">
        <v>159</v>
      </c>
      <c r="L206" s="42">
        <v>300</v>
      </c>
      <c r="M206" s="57">
        <v>0</v>
      </c>
      <c r="N206" s="57">
        <v>0</v>
      </c>
      <c r="O206" s="57">
        <v>76.2</v>
      </c>
      <c r="P206" s="57">
        <v>0</v>
      </c>
      <c r="Q206" s="107"/>
      <c r="R206" s="46"/>
      <c r="S206" s="1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ht="22.5" customHeight="1">
      <c r="A207" s="107"/>
      <c r="B207" s="107"/>
      <c r="C207" s="156"/>
      <c r="D207" s="79"/>
      <c r="E207" s="59"/>
      <c r="F207" s="77"/>
      <c r="G207" s="107"/>
      <c r="H207" s="107"/>
      <c r="I207" s="107"/>
      <c r="J207" s="107"/>
      <c r="K207" s="56" t="s">
        <v>165</v>
      </c>
      <c r="L207" s="42">
        <v>200</v>
      </c>
      <c r="M207" s="57">
        <v>9821.3</v>
      </c>
      <c r="N207" s="57">
        <v>7761.7</v>
      </c>
      <c r="O207" s="57">
        <f>20355.3-591.9</f>
        <v>19763.399999999998</v>
      </c>
      <c r="P207" s="57">
        <v>20355.3</v>
      </c>
      <c r="Q207" s="107"/>
      <c r="R207" s="46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ht="58.5" customHeight="1">
      <c r="A208" s="94"/>
      <c r="B208" s="94"/>
      <c r="C208" s="157"/>
      <c r="D208" s="75" t="s">
        <v>558</v>
      </c>
      <c r="E208" s="54"/>
      <c r="F208" s="158" t="s">
        <v>559</v>
      </c>
      <c r="G208" s="94"/>
      <c r="H208" s="94"/>
      <c r="I208" s="94"/>
      <c r="J208" s="94"/>
      <c r="K208" s="56" t="s">
        <v>67</v>
      </c>
      <c r="L208" s="42">
        <v>200</v>
      </c>
      <c r="M208" s="57">
        <v>1013.8</v>
      </c>
      <c r="N208" s="57">
        <v>989</v>
      </c>
      <c r="O208" s="57">
        <f>1305.2+270</f>
        <v>1575.2</v>
      </c>
      <c r="P208" s="57">
        <v>1305.2</v>
      </c>
      <c r="Q208" s="94"/>
      <c r="R208" s="46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ht="59.25" customHeight="1">
      <c r="A209" s="42" t="s">
        <v>460</v>
      </c>
      <c r="B209" s="42" t="s">
        <v>41</v>
      </c>
      <c r="C209" s="67" t="s">
        <v>262</v>
      </c>
      <c r="D209" s="41" t="s">
        <v>324</v>
      </c>
      <c r="E209" s="41"/>
      <c r="F209" s="42" t="s">
        <v>211</v>
      </c>
      <c r="G209" s="43">
        <v>40544</v>
      </c>
      <c r="H209" s="42" t="s">
        <v>9</v>
      </c>
      <c r="I209" s="56" t="s">
        <v>160</v>
      </c>
      <c r="J209" s="56" t="s">
        <v>377</v>
      </c>
      <c r="K209" s="56" t="s">
        <v>165</v>
      </c>
      <c r="L209" s="42">
        <v>200</v>
      </c>
      <c r="M209" s="57">
        <v>182875.9</v>
      </c>
      <c r="N209" s="57">
        <v>182875.9</v>
      </c>
      <c r="O209" s="57">
        <f>63179.6+1930.9</f>
        <v>65110.5</v>
      </c>
      <c r="P209" s="57">
        <f>O209*1.04</f>
        <v>67714.92</v>
      </c>
      <c r="Q209" s="42" t="s">
        <v>135</v>
      </c>
      <c r="R209" s="46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ht="117" customHeight="1">
      <c r="A210" s="42" t="s">
        <v>461</v>
      </c>
      <c r="B210" s="42" t="s">
        <v>73</v>
      </c>
      <c r="C210" s="67" t="s">
        <v>462</v>
      </c>
      <c r="D210" s="75" t="s">
        <v>471</v>
      </c>
      <c r="E210" s="54"/>
      <c r="F210" s="42" t="s">
        <v>481</v>
      </c>
      <c r="G210" s="43">
        <v>43466</v>
      </c>
      <c r="H210" s="43">
        <v>43830</v>
      </c>
      <c r="I210" s="56" t="s">
        <v>160</v>
      </c>
      <c r="J210" s="56" t="s">
        <v>375</v>
      </c>
      <c r="K210" s="56" t="s">
        <v>165</v>
      </c>
      <c r="L210" s="42">
        <v>200</v>
      </c>
      <c r="M210" s="57">
        <v>227.9</v>
      </c>
      <c r="N210" s="57">
        <v>124.4</v>
      </c>
      <c r="O210" s="57">
        <f>706.4-231.7</f>
        <v>474.7</v>
      </c>
      <c r="P210" s="57">
        <v>736.3</v>
      </c>
      <c r="Q210" s="42" t="s">
        <v>136</v>
      </c>
      <c r="R210" s="46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ht="132.75" customHeight="1">
      <c r="A211" s="42" t="s">
        <v>461</v>
      </c>
      <c r="B211" s="42" t="s">
        <v>298</v>
      </c>
      <c r="C211" s="67" t="s">
        <v>320</v>
      </c>
      <c r="D211" s="41" t="s">
        <v>471</v>
      </c>
      <c r="E211" s="41"/>
      <c r="F211" s="42" t="s">
        <v>482</v>
      </c>
      <c r="G211" s="43">
        <v>43466</v>
      </c>
      <c r="H211" s="43">
        <v>43830</v>
      </c>
      <c r="I211" s="42">
        <v>1003</v>
      </c>
      <c r="J211" s="42">
        <v>7010053810</v>
      </c>
      <c r="K211" s="56" t="s">
        <v>165</v>
      </c>
      <c r="L211" s="42">
        <v>200</v>
      </c>
      <c r="M211" s="57">
        <v>7035.7</v>
      </c>
      <c r="N211" s="57">
        <v>7013.568</v>
      </c>
      <c r="O211" s="57">
        <v>6453.1</v>
      </c>
      <c r="P211" s="57">
        <v>6725.7</v>
      </c>
      <c r="Q211" s="42" t="s">
        <v>136</v>
      </c>
      <c r="R211" s="46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ht="113.25" customHeight="1">
      <c r="A212" s="42" t="s">
        <v>461</v>
      </c>
      <c r="B212" s="42" t="s">
        <v>5</v>
      </c>
      <c r="C212" s="67" t="s">
        <v>346</v>
      </c>
      <c r="D212" s="41" t="s">
        <v>471</v>
      </c>
      <c r="E212" s="41"/>
      <c r="F212" s="42" t="s">
        <v>483</v>
      </c>
      <c r="G212" s="43">
        <v>43466</v>
      </c>
      <c r="H212" s="43">
        <v>43830</v>
      </c>
      <c r="I212" s="56" t="s">
        <v>160</v>
      </c>
      <c r="J212" s="56" t="s">
        <v>376</v>
      </c>
      <c r="K212" s="56" t="s">
        <v>165</v>
      </c>
      <c r="L212" s="42">
        <v>200</v>
      </c>
      <c r="M212" s="57">
        <v>1608.7</v>
      </c>
      <c r="N212" s="57">
        <v>1068.8</v>
      </c>
      <c r="O212" s="57">
        <v>6949.4</v>
      </c>
      <c r="P212" s="57">
        <v>7681</v>
      </c>
      <c r="Q212" s="42" t="s">
        <v>136</v>
      </c>
      <c r="R212" s="46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ht="138" customHeight="1">
      <c r="A213" s="53" t="s">
        <v>461</v>
      </c>
      <c r="B213" s="53" t="s">
        <v>23</v>
      </c>
      <c r="C213" s="84" t="s">
        <v>591</v>
      </c>
      <c r="D213" s="41" t="s">
        <v>194</v>
      </c>
      <c r="E213" s="60"/>
      <c r="F213" s="42" t="s">
        <v>274</v>
      </c>
      <c r="G213" s="43">
        <v>41312</v>
      </c>
      <c r="H213" s="53" t="s">
        <v>9</v>
      </c>
      <c r="I213" s="53">
        <v>1003</v>
      </c>
      <c r="J213" s="53">
        <v>7010060050</v>
      </c>
      <c r="K213" s="63" t="s">
        <v>165</v>
      </c>
      <c r="L213" s="53">
        <v>200</v>
      </c>
      <c r="M213" s="64">
        <v>7575.6</v>
      </c>
      <c r="N213" s="64">
        <v>7574.914</v>
      </c>
      <c r="O213" s="64">
        <f>7325.6-50</f>
        <v>7275.6</v>
      </c>
      <c r="P213" s="64">
        <f>O213*1</f>
        <v>7275.6</v>
      </c>
      <c r="Q213" s="53" t="s">
        <v>136</v>
      </c>
      <c r="R213" s="46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ht="121.5" customHeight="1">
      <c r="A214" s="53"/>
      <c r="B214" s="53"/>
      <c r="C214" s="84"/>
      <c r="D214" s="41" t="s">
        <v>252</v>
      </c>
      <c r="E214" s="60"/>
      <c r="F214" s="42" t="s">
        <v>275</v>
      </c>
      <c r="G214" s="43">
        <v>39814</v>
      </c>
      <c r="H214" s="53"/>
      <c r="I214" s="53"/>
      <c r="J214" s="53"/>
      <c r="K214" s="63"/>
      <c r="L214" s="53"/>
      <c r="M214" s="64"/>
      <c r="N214" s="64"/>
      <c r="O214" s="64"/>
      <c r="P214" s="64"/>
      <c r="Q214" s="53"/>
      <c r="R214" s="46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18" s="14" customFormat="1" ht="59.25" customHeight="1">
      <c r="A215" s="53" t="s">
        <v>461</v>
      </c>
      <c r="B215" s="53" t="s">
        <v>42</v>
      </c>
      <c r="C215" s="41" t="s">
        <v>61</v>
      </c>
      <c r="D215" s="84" t="s">
        <v>327</v>
      </c>
      <c r="E215" s="84"/>
      <c r="F215" s="53" t="s">
        <v>208</v>
      </c>
      <c r="G215" s="55">
        <v>39814</v>
      </c>
      <c r="H215" s="53" t="s">
        <v>134</v>
      </c>
      <c r="I215" s="53">
        <v>1003</v>
      </c>
      <c r="J215" s="53">
        <v>7010060190</v>
      </c>
      <c r="K215" s="56" t="s">
        <v>159</v>
      </c>
      <c r="L215" s="63">
        <v>200</v>
      </c>
      <c r="M215" s="57">
        <v>53.7</v>
      </c>
      <c r="N215" s="57">
        <v>51.381</v>
      </c>
      <c r="O215" s="57">
        <v>55.2</v>
      </c>
      <c r="P215" s="57">
        <f>O215*1</f>
        <v>55.2</v>
      </c>
      <c r="Q215" s="53" t="s">
        <v>135</v>
      </c>
      <c r="R215" s="46"/>
    </row>
    <row r="216" spans="1:18" s="20" customFormat="1" ht="59.25" customHeight="1">
      <c r="A216" s="61"/>
      <c r="B216" s="61"/>
      <c r="C216" s="60"/>
      <c r="D216" s="84"/>
      <c r="E216" s="84"/>
      <c r="F216" s="53"/>
      <c r="G216" s="61"/>
      <c r="H216" s="53"/>
      <c r="I216" s="53"/>
      <c r="J216" s="53"/>
      <c r="K216" s="42">
        <v>300</v>
      </c>
      <c r="L216" s="63"/>
      <c r="M216" s="57">
        <v>5516.7</v>
      </c>
      <c r="N216" s="57">
        <v>5452.647</v>
      </c>
      <c r="O216" s="57">
        <f>5516.7+370</f>
        <v>5886.7</v>
      </c>
      <c r="P216" s="57">
        <f>O216*1</f>
        <v>5886.7</v>
      </c>
      <c r="Q216" s="61"/>
      <c r="R216" s="159"/>
    </row>
    <row r="217" spans="1:53" ht="59.25" customHeight="1">
      <c r="A217" s="53" t="s">
        <v>461</v>
      </c>
      <c r="B217" s="53" t="s">
        <v>43</v>
      </c>
      <c r="C217" s="41" t="s">
        <v>62</v>
      </c>
      <c r="D217" s="41" t="s">
        <v>54</v>
      </c>
      <c r="E217" s="60"/>
      <c r="F217" s="53" t="s">
        <v>210</v>
      </c>
      <c r="G217" s="55">
        <v>41311</v>
      </c>
      <c r="H217" s="53" t="s">
        <v>9</v>
      </c>
      <c r="I217" s="53">
        <v>1003</v>
      </c>
      <c r="J217" s="53">
        <v>7010060250</v>
      </c>
      <c r="K217" s="56" t="s">
        <v>159</v>
      </c>
      <c r="L217" s="53">
        <v>200</v>
      </c>
      <c r="M217" s="57">
        <v>6</v>
      </c>
      <c r="N217" s="57">
        <v>5.944</v>
      </c>
      <c r="O217" s="57">
        <v>7</v>
      </c>
      <c r="P217" s="57">
        <f>O217*1</f>
        <v>7</v>
      </c>
      <c r="Q217" s="53" t="s">
        <v>140</v>
      </c>
      <c r="R217" s="46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ht="85.5" customHeight="1">
      <c r="A218" s="61"/>
      <c r="B218" s="61"/>
      <c r="C218" s="60"/>
      <c r="D218" s="60"/>
      <c r="E218" s="60"/>
      <c r="F218" s="53"/>
      <c r="G218" s="61"/>
      <c r="H218" s="53"/>
      <c r="I218" s="53"/>
      <c r="J218" s="53"/>
      <c r="K218" s="56" t="s">
        <v>165</v>
      </c>
      <c r="L218" s="53"/>
      <c r="M218" s="57">
        <v>600</v>
      </c>
      <c r="N218" s="57">
        <v>594.433</v>
      </c>
      <c r="O218" s="57">
        <f>700+170</f>
        <v>870</v>
      </c>
      <c r="P218" s="57">
        <f>O218*1</f>
        <v>870</v>
      </c>
      <c r="Q218" s="53"/>
      <c r="R218" s="46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ht="34.5" customHeight="1">
      <c r="A219" s="53" t="s">
        <v>461</v>
      </c>
      <c r="B219" s="53" t="s">
        <v>77</v>
      </c>
      <c r="C219" s="41" t="s">
        <v>27</v>
      </c>
      <c r="D219" s="41" t="s">
        <v>471</v>
      </c>
      <c r="E219" s="41"/>
      <c r="F219" s="53" t="s">
        <v>484</v>
      </c>
      <c r="G219" s="55">
        <v>43466</v>
      </c>
      <c r="H219" s="55">
        <v>43830</v>
      </c>
      <c r="I219" s="63" t="s">
        <v>160</v>
      </c>
      <c r="J219" s="63" t="s">
        <v>373</v>
      </c>
      <c r="K219" s="56" t="s">
        <v>159</v>
      </c>
      <c r="L219" s="53">
        <v>200</v>
      </c>
      <c r="M219" s="57">
        <v>2.3</v>
      </c>
      <c r="N219" s="57">
        <v>1.321</v>
      </c>
      <c r="O219" s="57">
        <v>1.6</v>
      </c>
      <c r="P219" s="57">
        <f>O219</f>
        <v>1.6</v>
      </c>
      <c r="Q219" s="53" t="s">
        <v>136</v>
      </c>
      <c r="R219" s="46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ht="34.5" customHeight="1">
      <c r="A220" s="61"/>
      <c r="B220" s="53"/>
      <c r="C220" s="41"/>
      <c r="D220" s="41"/>
      <c r="E220" s="41"/>
      <c r="F220" s="53"/>
      <c r="G220" s="55"/>
      <c r="H220" s="55"/>
      <c r="I220" s="63"/>
      <c r="J220" s="63"/>
      <c r="K220" s="56" t="s">
        <v>165</v>
      </c>
      <c r="L220" s="53"/>
      <c r="M220" s="57">
        <v>148.7</v>
      </c>
      <c r="N220" s="57">
        <v>135.721</v>
      </c>
      <c r="O220" s="57">
        <v>144</v>
      </c>
      <c r="P220" s="57">
        <v>163.5</v>
      </c>
      <c r="Q220" s="53"/>
      <c r="R220" s="46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ht="34.5" customHeight="1">
      <c r="A221" s="53" t="s">
        <v>461</v>
      </c>
      <c r="B221" s="53" t="s">
        <v>79</v>
      </c>
      <c r="C221" s="40" t="s">
        <v>293</v>
      </c>
      <c r="D221" s="41" t="s">
        <v>471</v>
      </c>
      <c r="E221" s="41"/>
      <c r="F221" s="53" t="s">
        <v>485</v>
      </c>
      <c r="G221" s="76">
        <v>43466</v>
      </c>
      <c r="H221" s="76">
        <v>43830</v>
      </c>
      <c r="I221" s="44" t="s">
        <v>160</v>
      </c>
      <c r="J221" s="44" t="s">
        <v>374</v>
      </c>
      <c r="K221" s="56" t="s">
        <v>159</v>
      </c>
      <c r="L221" s="39">
        <v>200</v>
      </c>
      <c r="M221" s="57">
        <v>1.899</v>
      </c>
      <c r="N221" s="57">
        <v>1.898</v>
      </c>
      <c r="O221" s="57">
        <v>2.5</v>
      </c>
      <c r="P221" s="57">
        <f>O221</f>
        <v>2.5</v>
      </c>
      <c r="Q221" s="42"/>
      <c r="R221" s="46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ht="70.5" customHeight="1">
      <c r="A222" s="61"/>
      <c r="B222" s="53"/>
      <c r="C222" s="48"/>
      <c r="D222" s="41"/>
      <c r="E222" s="41"/>
      <c r="F222" s="61"/>
      <c r="G222" s="82"/>
      <c r="H222" s="82"/>
      <c r="I222" s="51"/>
      <c r="J222" s="51"/>
      <c r="K222" s="56" t="s">
        <v>165</v>
      </c>
      <c r="L222" s="47"/>
      <c r="M222" s="57">
        <v>189.879</v>
      </c>
      <c r="N222" s="57">
        <v>189.878</v>
      </c>
      <c r="O222" s="57">
        <f>169.8+41.588</f>
        <v>211.388</v>
      </c>
      <c r="P222" s="57">
        <v>176.3</v>
      </c>
      <c r="Q222" s="42"/>
      <c r="R222" s="46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ht="51" customHeight="1">
      <c r="A223" s="53" t="s">
        <v>461</v>
      </c>
      <c r="B223" s="53" t="s">
        <v>345</v>
      </c>
      <c r="C223" s="41" t="s">
        <v>168</v>
      </c>
      <c r="D223" s="75" t="s">
        <v>471</v>
      </c>
      <c r="E223" s="54"/>
      <c r="F223" s="69" t="s">
        <v>486</v>
      </c>
      <c r="G223" s="55">
        <v>43466</v>
      </c>
      <c r="H223" s="55">
        <v>43830</v>
      </c>
      <c r="I223" s="53">
        <v>1003</v>
      </c>
      <c r="J223" s="53">
        <v>7020052500</v>
      </c>
      <c r="K223" s="56" t="s">
        <v>159</v>
      </c>
      <c r="L223" s="53">
        <v>200</v>
      </c>
      <c r="M223" s="57">
        <v>69.6</v>
      </c>
      <c r="N223" s="57">
        <v>67.281</v>
      </c>
      <c r="O223" s="57">
        <f>66.6+6.2</f>
        <v>72.8</v>
      </c>
      <c r="P223" s="57">
        <f>O223</f>
        <v>72.8</v>
      </c>
      <c r="Q223" s="53" t="s">
        <v>136</v>
      </c>
      <c r="R223" s="46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ht="50.25" customHeight="1">
      <c r="A224" s="61"/>
      <c r="B224" s="53"/>
      <c r="C224" s="41"/>
      <c r="D224" s="49" t="s">
        <v>306</v>
      </c>
      <c r="E224" s="50"/>
      <c r="F224" s="160" t="s">
        <v>307</v>
      </c>
      <c r="G224" s="55"/>
      <c r="H224" s="55"/>
      <c r="I224" s="53"/>
      <c r="J224" s="53"/>
      <c r="K224" s="56" t="s">
        <v>165</v>
      </c>
      <c r="L224" s="53"/>
      <c r="M224" s="57">
        <v>6436.2</v>
      </c>
      <c r="N224" s="57">
        <v>6436.048</v>
      </c>
      <c r="O224" s="57">
        <f>4418+2027</f>
        <v>6445</v>
      </c>
      <c r="P224" s="57">
        <v>4418.3</v>
      </c>
      <c r="Q224" s="53"/>
      <c r="R224" s="46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ht="30" customHeight="1">
      <c r="A225" s="53" t="s">
        <v>461</v>
      </c>
      <c r="B225" s="53" t="s">
        <v>44</v>
      </c>
      <c r="C225" s="41" t="s">
        <v>80</v>
      </c>
      <c r="D225" s="41" t="s">
        <v>192</v>
      </c>
      <c r="E225" s="41"/>
      <c r="F225" s="53" t="s">
        <v>193</v>
      </c>
      <c r="G225" s="55">
        <v>40151</v>
      </c>
      <c r="H225" s="53" t="s">
        <v>134</v>
      </c>
      <c r="I225" s="53">
        <v>1003</v>
      </c>
      <c r="J225" s="53">
        <v>7020060010</v>
      </c>
      <c r="K225" s="56" t="s">
        <v>159</v>
      </c>
      <c r="L225" s="53">
        <v>200</v>
      </c>
      <c r="M225" s="57">
        <v>1.109</v>
      </c>
      <c r="N225" s="57">
        <v>0.868</v>
      </c>
      <c r="O225" s="57">
        <v>1.9</v>
      </c>
      <c r="P225" s="57">
        <f aca="true" t="shared" si="2" ref="P225:P231">O225*1</f>
        <v>1.9</v>
      </c>
      <c r="Q225" s="53" t="s">
        <v>136</v>
      </c>
      <c r="R225" s="46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ht="27.75" customHeight="1">
      <c r="A226" s="61"/>
      <c r="B226" s="53"/>
      <c r="C226" s="41"/>
      <c r="D226" s="41"/>
      <c r="E226" s="41"/>
      <c r="F226" s="61"/>
      <c r="G226" s="53"/>
      <c r="H226" s="53"/>
      <c r="I226" s="53"/>
      <c r="J226" s="53"/>
      <c r="K226" s="56" t="s">
        <v>165</v>
      </c>
      <c r="L226" s="53"/>
      <c r="M226" s="57">
        <v>55.873</v>
      </c>
      <c r="N226" s="57">
        <v>40.502</v>
      </c>
      <c r="O226" s="57">
        <f>143.7-40</f>
        <v>103.69999999999999</v>
      </c>
      <c r="P226" s="57">
        <f t="shared" si="2"/>
        <v>103.69999999999999</v>
      </c>
      <c r="Q226" s="53"/>
      <c r="R226" s="46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ht="45.75" customHeight="1">
      <c r="A227" s="53" t="s">
        <v>461</v>
      </c>
      <c r="B227" s="53" t="s">
        <v>45</v>
      </c>
      <c r="C227" s="41" t="s">
        <v>169</v>
      </c>
      <c r="D227" s="41" t="s">
        <v>250</v>
      </c>
      <c r="E227" s="60"/>
      <c r="F227" s="53" t="s">
        <v>273</v>
      </c>
      <c r="G227" s="55">
        <v>41124</v>
      </c>
      <c r="H227" s="53" t="s">
        <v>9</v>
      </c>
      <c r="I227" s="53">
        <v>1003</v>
      </c>
      <c r="J227" s="53">
        <v>7020060030</v>
      </c>
      <c r="K227" s="56" t="s">
        <v>159</v>
      </c>
      <c r="L227" s="53">
        <v>200</v>
      </c>
      <c r="M227" s="57">
        <v>12.7</v>
      </c>
      <c r="N227" s="57">
        <v>11.094</v>
      </c>
      <c r="O227" s="57">
        <f>14.3-1.5</f>
        <v>12.8</v>
      </c>
      <c r="P227" s="57">
        <f t="shared" si="2"/>
        <v>12.8</v>
      </c>
      <c r="Q227" s="53" t="s">
        <v>214</v>
      </c>
      <c r="R227" s="46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ht="43.5" customHeight="1">
      <c r="A228" s="61"/>
      <c r="B228" s="61"/>
      <c r="C228" s="60"/>
      <c r="D228" s="60"/>
      <c r="E228" s="60"/>
      <c r="F228" s="61"/>
      <c r="G228" s="61"/>
      <c r="H228" s="53"/>
      <c r="I228" s="53"/>
      <c r="J228" s="53"/>
      <c r="K228" s="56" t="s">
        <v>165</v>
      </c>
      <c r="L228" s="53"/>
      <c r="M228" s="57">
        <v>1104</v>
      </c>
      <c r="N228" s="57">
        <v>1103.918</v>
      </c>
      <c r="O228" s="57">
        <f>1058.6-60.28</f>
        <v>998.3199999999999</v>
      </c>
      <c r="P228" s="57">
        <f t="shared" si="2"/>
        <v>998.3199999999999</v>
      </c>
      <c r="Q228" s="53"/>
      <c r="R228" s="46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ht="67.5" customHeight="1">
      <c r="A229" s="53" t="s">
        <v>461</v>
      </c>
      <c r="B229" s="53" t="s">
        <v>46</v>
      </c>
      <c r="C229" s="41" t="s">
        <v>82</v>
      </c>
      <c r="D229" s="41" t="s">
        <v>314</v>
      </c>
      <c r="E229" s="41"/>
      <c r="F229" s="42" t="s">
        <v>195</v>
      </c>
      <c r="G229" s="43">
        <v>41640</v>
      </c>
      <c r="H229" s="39" t="s">
        <v>134</v>
      </c>
      <c r="I229" s="53">
        <v>1003</v>
      </c>
      <c r="J229" s="53">
        <v>7020060060</v>
      </c>
      <c r="K229" s="56" t="s">
        <v>159</v>
      </c>
      <c r="L229" s="53">
        <v>200</v>
      </c>
      <c r="M229" s="57">
        <v>495.3</v>
      </c>
      <c r="N229" s="57">
        <v>493.07</v>
      </c>
      <c r="O229" s="57">
        <v>467.8</v>
      </c>
      <c r="P229" s="57">
        <f t="shared" si="2"/>
        <v>467.8</v>
      </c>
      <c r="Q229" s="53" t="s">
        <v>136</v>
      </c>
      <c r="R229" s="46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ht="67.5" customHeight="1">
      <c r="A230" s="61"/>
      <c r="B230" s="53"/>
      <c r="C230" s="41"/>
      <c r="D230" s="41" t="s">
        <v>313</v>
      </c>
      <c r="E230" s="41"/>
      <c r="F230" s="42" t="s">
        <v>176</v>
      </c>
      <c r="G230" s="43">
        <v>41141</v>
      </c>
      <c r="H230" s="47"/>
      <c r="I230" s="53"/>
      <c r="J230" s="53"/>
      <c r="K230" s="56" t="s">
        <v>165</v>
      </c>
      <c r="L230" s="53"/>
      <c r="M230" s="57">
        <v>38566.5</v>
      </c>
      <c r="N230" s="57">
        <v>38545.569</v>
      </c>
      <c r="O230" s="57">
        <f>38346.8-1380.47</f>
        <v>36966.33</v>
      </c>
      <c r="P230" s="57">
        <f t="shared" si="2"/>
        <v>36966.33</v>
      </c>
      <c r="Q230" s="53"/>
      <c r="R230" s="46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ht="33.75" customHeight="1">
      <c r="A231" s="53" t="s">
        <v>461</v>
      </c>
      <c r="B231" s="53" t="s">
        <v>47</v>
      </c>
      <c r="C231" s="41" t="s">
        <v>92</v>
      </c>
      <c r="D231" s="41" t="s">
        <v>314</v>
      </c>
      <c r="E231" s="60"/>
      <c r="F231" s="53" t="s">
        <v>196</v>
      </c>
      <c r="G231" s="55">
        <v>41640</v>
      </c>
      <c r="H231" s="53" t="s">
        <v>134</v>
      </c>
      <c r="I231" s="53">
        <v>1003</v>
      </c>
      <c r="J231" s="53">
        <v>7020060070</v>
      </c>
      <c r="K231" s="56" t="s">
        <v>159</v>
      </c>
      <c r="L231" s="53">
        <v>200</v>
      </c>
      <c r="M231" s="57">
        <v>0.7</v>
      </c>
      <c r="N231" s="57">
        <v>0.689</v>
      </c>
      <c r="O231" s="57">
        <v>0.7</v>
      </c>
      <c r="P231" s="57">
        <f t="shared" si="2"/>
        <v>0.7</v>
      </c>
      <c r="Q231" s="53" t="s">
        <v>136</v>
      </c>
      <c r="R231" s="46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ht="33.75" customHeight="1">
      <c r="A232" s="61"/>
      <c r="B232" s="53"/>
      <c r="C232" s="41"/>
      <c r="D232" s="60"/>
      <c r="E232" s="60"/>
      <c r="F232" s="53"/>
      <c r="G232" s="53"/>
      <c r="H232" s="53"/>
      <c r="I232" s="53"/>
      <c r="J232" s="53"/>
      <c r="K232" s="56" t="s">
        <v>165</v>
      </c>
      <c r="L232" s="53"/>
      <c r="M232" s="57">
        <v>54.85</v>
      </c>
      <c r="N232" s="57">
        <v>45.799</v>
      </c>
      <c r="O232" s="57">
        <f>63.7-5</f>
        <v>58.7</v>
      </c>
      <c r="P232" s="57">
        <f aca="true" t="shared" si="3" ref="P232:P238">O232*1</f>
        <v>58.7</v>
      </c>
      <c r="Q232" s="53"/>
      <c r="R232" s="46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ht="35.25" customHeight="1">
      <c r="A233" s="53" t="s">
        <v>461</v>
      </c>
      <c r="B233" s="53" t="s">
        <v>100</v>
      </c>
      <c r="C233" s="41" t="s">
        <v>91</v>
      </c>
      <c r="D233" s="41" t="s">
        <v>314</v>
      </c>
      <c r="E233" s="60"/>
      <c r="F233" s="53" t="s">
        <v>197</v>
      </c>
      <c r="G233" s="55">
        <v>41640</v>
      </c>
      <c r="H233" s="53" t="s">
        <v>134</v>
      </c>
      <c r="I233" s="53">
        <v>1003</v>
      </c>
      <c r="J233" s="53">
        <v>7020060080</v>
      </c>
      <c r="K233" s="56" t="s">
        <v>159</v>
      </c>
      <c r="L233" s="53">
        <v>200</v>
      </c>
      <c r="M233" s="57">
        <v>6.1</v>
      </c>
      <c r="N233" s="57">
        <v>5.615</v>
      </c>
      <c r="O233" s="57">
        <f>7-0.1</f>
        <v>6.9</v>
      </c>
      <c r="P233" s="57">
        <f t="shared" si="3"/>
        <v>6.9</v>
      </c>
      <c r="Q233" s="53" t="s">
        <v>137</v>
      </c>
      <c r="R233" s="46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ht="35.25" customHeight="1">
      <c r="A234" s="61"/>
      <c r="B234" s="61"/>
      <c r="C234" s="60"/>
      <c r="D234" s="60"/>
      <c r="E234" s="60"/>
      <c r="F234" s="53"/>
      <c r="G234" s="161"/>
      <c r="H234" s="61"/>
      <c r="I234" s="61"/>
      <c r="J234" s="61"/>
      <c r="K234" s="56" t="s">
        <v>165</v>
      </c>
      <c r="L234" s="53"/>
      <c r="M234" s="57">
        <v>542.4</v>
      </c>
      <c r="N234" s="57">
        <v>535.444</v>
      </c>
      <c r="O234" s="57">
        <f>536.1-10.19</f>
        <v>525.91</v>
      </c>
      <c r="P234" s="57">
        <f t="shared" si="3"/>
        <v>525.91</v>
      </c>
      <c r="Q234" s="53"/>
      <c r="R234" s="46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ht="40.5" customHeight="1">
      <c r="A235" s="53" t="s">
        <v>461</v>
      </c>
      <c r="B235" s="53" t="s">
        <v>25</v>
      </c>
      <c r="C235" s="41" t="s">
        <v>83</v>
      </c>
      <c r="D235" s="41" t="s">
        <v>250</v>
      </c>
      <c r="E235" s="162"/>
      <c r="F235" s="53" t="s">
        <v>198</v>
      </c>
      <c r="G235" s="55">
        <v>41124</v>
      </c>
      <c r="H235" s="53" t="s">
        <v>134</v>
      </c>
      <c r="I235" s="53">
        <v>1003</v>
      </c>
      <c r="J235" s="53">
        <v>7020060090</v>
      </c>
      <c r="K235" s="56" t="s">
        <v>159</v>
      </c>
      <c r="L235" s="53">
        <v>200</v>
      </c>
      <c r="M235" s="57">
        <v>113.7</v>
      </c>
      <c r="N235" s="57">
        <v>112.041</v>
      </c>
      <c r="O235" s="57">
        <f>108.5-2</f>
        <v>106.5</v>
      </c>
      <c r="P235" s="57">
        <f t="shared" si="3"/>
        <v>106.5</v>
      </c>
      <c r="Q235" s="53" t="s">
        <v>136</v>
      </c>
      <c r="R235" s="46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ht="40.5" customHeight="1">
      <c r="A236" s="61"/>
      <c r="B236" s="61"/>
      <c r="C236" s="60"/>
      <c r="D236" s="162"/>
      <c r="E236" s="162"/>
      <c r="F236" s="53"/>
      <c r="G236" s="53"/>
      <c r="H236" s="61"/>
      <c r="I236" s="61"/>
      <c r="J236" s="61"/>
      <c r="K236" s="56" t="s">
        <v>165</v>
      </c>
      <c r="L236" s="53"/>
      <c r="M236" s="57">
        <v>11362.4</v>
      </c>
      <c r="N236" s="57">
        <v>11211.282</v>
      </c>
      <c r="O236" s="57">
        <f>10845.7-202.9</f>
        <v>10642.800000000001</v>
      </c>
      <c r="P236" s="57">
        <f t="shared" si="3"/>
        <v>10642.800000000001</v>
      </c>
      <c r="Q236" s="61"/>
      <c r="R236" s="46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18" s="14" customFormat="1" ht="41.25" customHeight="1">
      <c r="A237" s="53" t="s">
        <v>461</v>
      </c>
      <c r="B237" s="53" t="s">
        <v>148</v>
      </c>
      <c r="C237" s="41" t="s">
        <v>59</v>
      </c>
      <c r="D237" s="41" t="s">
        <v>250</v>
      </c>
      <c r="E237" s="162"/>
      <c r="F237" s="53" t="s">
        <v>199</v>
      </c>
      <c r="G237" s="55">
        <v>41124</v>
      </c>
      <c r="H237" s="53" t="s">
        <v>134</v>
      </c>
      <c r="I237" s="53">
        <v>1003</v>
      </c>
      <c r="J237" s="53">
        <v>7020060100</v>
      </c>
      <c r="K237" s="56" t="s">
        <v>159</v>
      </c>
      <c r="L237" s="53">
        <v>200</v>
      </c>
      <c r="M237" s="57">
        <v>3.53</v>
      </c>
      <c r="N237" s="57">
        <v>3.133</v>
      </c>
      <c r="O237" s="57">
        <v>3.93</v>
      </c>
      <c r="P237" s="57">
        <f t="shared" si="3"/>
        <v>3.93</v>
      </c>
      <c r="Q237" s="53" t="s">
        <v>136</v>
      </c>
      <c r="R237" s="46"/>
    </row>
    <row r="238" spans="1:18" s="20" customFormat="1" ht="41.25" customHeight="1">
      <c r="A238" s="61"/>
      <c r="B238" s="53"/>
      <c r="C238" s="41"/>
      <c r="D238" s="162"/>
      <c r="E238" s="162"/>
      <c r="F238" s="53"/>
      <c r="G238" s="53"/>
      <c r="H238" s="53"/>
      <c r="I238" s="53"/>
      <c r="J238" s="53"/>
      <c r="K238" s="56" t="s">
        <v>165</v>
      </c>
      <c r="L238" s="53"/>
      <c r="M238" s="57">
        <v>294.65</v>
      </c>
      <c r="N238" s="57">
        <v>281.571</v>
      </c>
      <c r="O238" s="57">
        <f>357.1-50</f>
        <v>307.1</v>
      </c>
      <c r="P238" s="57">
        <f t="shared" si="3"/>
        <v>307.1</v>
      </c>
      <c r="Q238" s="53"/>
      <c r="R238" s="159"/>
    </row>
    <row r="239" spans="1:53" ht="63.75" customHeight="1">
      <c r="A239" s="42" t="s">
        <v>461</v>
      </c>
      <c r="B239" s="42" t="s">
        <v>48</v>
      </c>
      <c r="C239" s="67" t="s">
        <v>120</v>
      </c>
      <c r="D239" s="41" t="s">
        <v>314</v>
      </c>
      <c r="E239" s="163"/>
      <c r="F239" s="42" t="s">
        <v>200</v>
      </c>
      <c r="G239" s="43">
        <v>41640</v>
      </c>
      <c r="H239" s="42" t="s">
        <v>134</v>
      </c>
      <c r="I239" s="42">
        <v>1003</v>
      </c>
      <c r="J239" s="42">
        <v>7020060110</v>
      </c>
      <c r="K239" s="56" t="s">
        <v>165</v>
      </c>
      <c r="L239" s="42">
        <v>200</v>
      </c>
      <c r="M239" s="57">
        <v>51.6</v>
      </c>
      <c r="N239" s="57">
        <v>19.176</v>
      </c>
      <c r="O239" s="57">
        <f>51.6-6.5</f>
        <v>45.1</v>
      </c>
      <c r="P239" s="57">
        <f>O239*1</f>
        <v>45.1</v>
      </c>
      <c r="Q239" s="42" t="s">
        <v>136</v>
      </c>
      <c r="R239" s="46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ht="34.5" customHeight="1">
      <c r="A240" s="53" t="s">
        <v>461</v>
      </c>
      <c r="B240" s="53" t="s">
        <v>49</v>
      </c>
      <c r="C240" s="41" t="s">
        <v>141</v>
      </c>
      <c r="D240" s="41" t="s">
        <v>314</v>
      </c>
      <c r="E240" s="60"/>
      <c r="F240" s="53" t="s">
        <v>204</v>
      </c>
      <c r="G240" s="55">
        <v>41640</v>
      </c>
      <c r="H240" s="53" t="s">
        <v>134</v>
      </c>
      <c r="I240" s="53">
        <v>1003</v>
      </c>
      <c r="J240" s="53">
        <v>7020060140</v>
      </c>
      <c r="K240" s="56" t="s">
        <v>159</v>
      </c>
      <c r="L240" s="53">
        <v>200</v>
      </c>
      <c r="M240" s="57">
        <v>3.65</v>
      </c>
      <c r="N240" s="57">
        <v>3.097</v>
      </c>
      <c r="O240" s="57">
        <v>3</v>
      </c>
      <c r="P240" s="57">
        <f aca="true" t="shared" si="4" ref="P240:P249">O240*1</f>
        <v>3</v>
      </c>
      <c r="Q240" s="53" t="s">
        <v>136</v>
      </c>
      <c r="R240" s="46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ht="34.5" customHeight="1">
      <c r="A241" s="61"/>
      <c r="B241" s="53"/>
      <c r="C241" s="41"/>
      <c r="D241" s="60"/>
      <c r="E241" s="60"/>
      <c r="F241" s="53"/>
      <c r="G241" s="53"/>
      <c r="H241" s="53"/>
      <c r="I241" s="53"/>
      <c r="J241" s="53"/>
      <c r="K241" s="56" t="s">
        <v>165</v>
      </c>
      <c r="L241" s="53"/>
      <c r="M241" s="57">
        <v>312.89</v>
      </c>
      <c r="N241" s="57">
        <v>296.022</v>
      </c>
      <c r="O241" s="57">
        <v>290.6</v>
      </c>
      <c r="P241" s="57">
        <f t="shared" si="4"/>
        <v>290.6</v>
      </c>
      <c r="Q241" s="53"/>
      <c r="R241" s="46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ht="49.5" customHeight="1">
      <c r="A242" s="53" t="s">
        <v>461</v>
      </c>
      <c r="B242" s="53" t="s">
        <v>50</v>
      </c>
      <c r="C242" s="41" t="s">
        <v>122</v>
      </c>
      <c r="D242" s="41" t="s">
        <v>260</v>
      </c>
      <c r="E242" s="60"/>
      <c r="F242" s="53" t="s">
        <v>205</v>
      </c>
      <c r="G242" s="55">
        <v>40667</v>
      </c>
      <c r="H242" s="53" t="s">
        <v>134</v>
      </c>
      <c r="I242" s="53">
        <v>1003</v>
      </c>
      <c r="J242" s="53">
        <v>7020060150</v>
      </c>
      <c r="K242" s="56" t="s">
        <v>159</v>
      </c>
      <c r="L242" s="53">
        <v>200</v>
      </c>
      <c r="M242" s="57">
        <v>0.5</v>
      </c>
      <c r="N242" s="57">
        <v>0.5</v>
      </c>
      <c r="O242" s="57">
        <v>0.7</v>
      </c>
      <c r="P242" s="57">
        <f t="shared" si="4"/>
        <v>0.7</v>
      </c>
      <c r="Q242" s="53" t="s">
        <v>136</v>
      </c>
      <c r="R242" s="46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ht="49.5" customHeight="1">
      <c r="A243" s="61"/>
      <c r="B243" s="53"/>
      <c r="C243" s="41"/>
      <c r="D243" s="60"/>
      <c r="E243" s="60"/>
      <c r="F243" s="53"/>
      <c r="G243" s="53"/>
      <c r="H243" s="53"/>
      <c r="I243" s="53"/>
      <c r="J243" s="53"/>
      <c r="K243" s="56" t="s">
        <v>165</v>
      </c>
      <c r="L243" s="53"/>
      <c r="M243" s="57">
        <v>50</v>
      </c>
      <c r="N243" s="57">
        <v>50</v>
      </c>
      <c r="O243" s="57">
        <v>70</v>
      </c>
      <c r="P243" s="57">
        <f t="shared" si="4"/>
        <v>70</v>
      </c>
      <c r="Q243" s="53"/>
      <c r="R243" s="46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ht="35.25" customHeight="1">
      <c r="A244" s="53" t="s">
        <v>461</v>
      </c>
      <c r="B244" s="53" t="s">
        <v>51</v>
      </c>
      <c r="C244" s="41" t="s">
        <v>125</v>
      </c>
      <c r="D244" s="41" t="s">
        <v>314</v>
      </c>
      <c r="E244" s="60"/>
      <c r="F244" s="53" t="s">
        <v>206</v>
      </c>
      <c r="G244" s="55">
        <v>41640</v>
      </c>
      <c r="H244" s="53" t="s">
        <v>134</v>
      </c>
      <c r="I244" s="53">
        <v>1003</v>
      </c>
      <c r="J244" s="53">
        <v>7020060160</v>
      </c>
      <c r="K244" s="56" t="s">
        <v>159</v>
      </c>
      <c r="L244" s="53">
        <v>200</v>
      </c>
      <c r="M244" s="57">
        <v>0.941</v>
      </c>
      <c r="N244" s="57">
        <v>0.909</v>
      </c>
      <c r="O244" s="57">
        <f>3.6-2.5</f>
        <v>1.1</v>
      </c>
      <c r="P244" s="57">
        <f t="shared" si="4"/>
        <v>1.1</v>
      </c>
      <c r="Q244" s="53" t="s">
        <v>136</v>
      </c>
      <c r="R244" s="46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ht="35.25" customHeight="1">
      <c r="A245" s="61"/>
      <c r="B245" s="53"/>
      <c r="C245" s="41"/>
      <c r="D245" s="60"/>
      <c r="E245" s="60"/>
      <c r="F245" s="53"/>
      <c r="G245" s="53"/>
      <c r="H245" s="53"/>
      <c r="I245" s="53"/>
      <c r="J245" s="53"/>
      <c r="K245" s="56" t="s">
        <v>165</v>
      </c>
      <c r="L245" s="53"/>
      <c r="M245" s="57">
        <v>94.125</v>
      </c>
      <c r="N245" s="57">
        <v>92.675</v>
      </c>
      <c r="O245" s="57">
        <f>360-250</f>
        <v>110</v>
      </c>
      <c r="P245" s="57">
        <f t="shared" si="4"/>
        <v>110</v>
      </c>
      <c r="Q245" s="53"/>
      <c r="R245" s="46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ht="35.25" customHeight="1">
      <c r="A246" s="53" t="s">
        <v>461</v>
      </c>
      <c r="B246" s="53" t="s">
        <v>52</v>
      </c>
      <c r="C246" s="41" t="s">
        <v>463</v>
      </c>
      <c r="D246" s="41" t="s">
        <v>314</v>
      </c>
      <c r="E246" s="60"/>
      <c r="F246" s="53" t="s">
        <v>206</v>
      </c>
      <c r="G246" s="55">
        <v>41640</v>
      </c>
      <c r="H246" s="53" t="s">
        <v>134</v>
      </c>
      <c r="I246" s="53">
        <v>1003</v>
      </c>
      <c r="J246" s="53">
        <v>7020060170</v>
      </c>
      <c r="K246" s="56" t="s">
        <v>159</v>
      </c>
      <c r="L246" s="53">
        <v>200</v>
      </c>
      <c r="M246" s="57">
        <v>1.042</v>
      </c>
      <c r="N246" s="57">
        <v>0.466</v>
      </c>
      <c r="O246" s="57">
        <f>0.5+0.08</f>
        <v>0.58</v>
      </c>
      <c r="P246" s="57">
        <f t="shared" si="4"/>
        <v>0.58</v>
      </c>
      <c r="Q246" s="53" t="s">
        <v>142</v>
      </c>
      <c r="R246" s="46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ht="35.25" customHeight="1">
      <c r="A247" s="61"/>
      <c r="B247" s="53"/>
      <c r="C247" s="41"/>
      <c r="D247" s="60"/>
      <c r="E247" s="60"/>
      <c r="F247" s="53"/>
      <c r="G247" s="53"/>
      <c r="H247" s="53"/>
      <c r="I247" s="53"/>
      <c r="J247" s="53"/>
      <c r="K247" s="56" t="s">
        <v>165</v>
      </c>
      <c r="L247" s="53"/>
      <c r="M247" s="57">
        <v>48.71</v>
      </c>
      <c r="N247" s="57">
        <v>46.676</v>
      </c>
      <c r="O247" s="57">
        <f>50.8+0.0008</f>
        <v>50.800799999999995</v>
      </c>
      <c r="P247" s="57">
        <f t="shared" si="4"/>
        <v>50.800799999999995</v>
      </c>
      <c r="Q247" s="53"/>
      <c r="R247" s="46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ht="35.25" customHeight="1">
      <c r="A248" s="53" t="s">
        <v>461</v>
      </c>
      <c r="B248" s="53" t="s">
        <v>299</v>
      </c>
      <c r="C248" s="41" t="s">
        <v>464</v>
      </c>
      <c r="D248" s="41" t="s">
        <v>314</v>
      </c>
      <c r="E248" s="60"/>
      <c r="F248" s="53" t="s">
        <v>207</v>
      </c>
      <c r="G248" s="55">
        <v>41640</v>
      </c>
      <c r="H248" s="53" t="s">
        <v>134</v>
      </c>
      <c r="I248" s="53">
        <v>1003</v>
      </c>
      <c r="J248" s="53">
        <v>7020060180</v>
      </c>
      <c r="K248" s="56" t="s">
        <v>159</v>
      </c>
      <c r="L248" s="53">
        <v>200</v>
      </c>
      <c r="M248" s="57">
        <v>6.781</v>
      </c>
      <c r="N248" s="57">
        <v>6.405</v>
      </c>
      <c r="O248" s="57">
        <f>9-5.425</f>
        <v>3.575</v>
      </c>
      <c r="P248" s="57">
        <f t="shared" si="4"/>
        <v>3.575</v>
      </c>
      <c r="Q248" s="53" t="s">
        <v>140</v>
      </c>
      <c r="R248" s="46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ht="35.25" customHeight="1">
      <c r="A249" s="61"/>
      <c r="B249" s="53"/>
      <c r="C249" s="41"/>
      <c r="D249" s="60"/>
      <c r="E249" s="60"/>
      <c r="F249" s="53"/>
      <c r="G249" s="53"/>
      <c r="H249" s="53"/>
      <c r="I249" s="53"/>
      <c r="J249" s="53"/>
      <c r="K249" s="56" t="s">
        <v>165</v>
      </c>
      <c r="L249" s="53"/>
      <c r="M249" s="57">
        <v>678.172</v>
      </c>
      <c r="N249" s="57">
        <v>648.602</v>
      </c>
      <c r="O249" s="57">
        <f>896-542.5</f>
        <v>353.5</v>
      </c>
      <c r="P249" s="57">
        <f t="shared" si="4"/>
        <v>353.5</v>
      </c>
      <c r="Q249" s="53"/>
      <c r="R249" s="46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ht="44.25" customHeight="1">
      <c r="A250" s="53" t="s">
        <v>461</v>
      </c>
      <c r="B250" s="53" t="s">
        <v>280</v>
      </c>
      <c r="C250" s="41" t="s">
        <v>261</v>
      </c>
      <c r="D250" s="164" t="s">
        <v>328</v>
      </c>
      <c r="E250" s="60"/>
      <c r="F250" s="53" t="s">
        <v>209</v>
      </c>
      <c r="G250" s="55">
        <v>40355</v>
      </c>
      <c r="H250" s="53" t="s">
        <v>134</v>
      </c>
      <c r="I250" s="53">
        <v>1003</v>
      </c>
      <c r="J250" s="53">
        <v>7020060210</v>
      </c>
      <c r="K250" s="56" t="s">
        <v>159</v>
      </c>
      <c r="L250" s="53">
        <v>200</v>
      </c>
      <c r="M250" s="57">
        <v>0.1</v>
      </c>
      <c r="N250" s="57">
        <v>0</v>
      </c>
      <c r="O250" s="57">
        <v>0.1</v>
      </c>
      <c r="P250" s="57">
        <f aca="true" t="shared" si="5" ref="P250:P257">O250*1</f>
        <v>0.1</v>
      </c>
      <c r="Q250" s="53" t="s">
        <v>136</v>
      </c>
      <c r="R250" s="46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ht="45.75" customHeight="1">
      <c r="A251" s="61"/>
      <c r="B251" s="53"/>
      <c r="C251" s="41"/>
      <c r="D251" s="60"/>
      <c r="E251" s="60"/>
      <c r="F251" s="53"/>
      <c r="G251" s="53"/>
      <c r="H251" s="53"/>
      <c r="I251" s="53"/>
      <c r="J251" s="53"/>
      <c r="K251" s="56" t="s">
        <v>165</v>
      </c>
      <c r="L251" s="53"/>
      <c r="M251" s="57">
        <v>1</v>
      </c>
      <c r="N251" s="57">
        <v>0</v>
      </c>
      <c r="O251" s="57">
        <v>1</v>
      </c>
      <c r="P251" s="57">
        <f t="shared" si="5"/>
        <v>1</v>
      </c>
      <c r="Q251" s="53"/>
      <c r="R251" s="46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ht="110.25" customHeight="1">
      <c r="A252" s="53" t="s">
        <v>461</v>
      </c>
      <c r="B252" s="53" t="s">
        <v>300</v>
      </c>
      <c r="C252" s="41" t="s">
        <v>81</v>
      </c>
      <c r="D252" s="41" t="s">
        <v>24</v>
      </c>
      <c r="E252" s="41"/>
      <c r="F252" s="42" t="s">
        <v>173</v>
      </c>
      <c r="G252" s="43">
        <v>41275</v>
      </c>
      <c r="H252" s="39" t="s">
        <v>134</v>
      </c>
      <c r="I252" s="53">
        <v>1003</v>
      </c>
      <c r="J252" s="53">
        <v>7030060040</v>
      </c>
      <c r="K252" s="56" t="s">
        <v>159</v>
      </c>
      <c r="L252" s="53">
        <v>200</v>
      </c>
      <c r="M252" s="57">
        <v>89.2</v>
      </c>
      <c r="N252" s="57">
        <v>78.665</v>
      </c>
      <c r="O252" s="57">
        <v>78.2</v>
      </c>
      <c r="P252" s="57">
        <f t="shared" si="5"/>
        <v>78.2</v>
      </c>
      <c r="Q252" s="53" t="s">
        <v>136</v>
      </c>
      <c r="R252" s="46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ht="110.25" customHeight="1">
      <c r="A253" s="61"/>
      <c r="B253" s="53"/>
      <c r="C253" s="41"/>
      <c r="D253" s="41" t="s">
        <v>547</v>
      </c>
      <c r="E253" s="41"/>
      <c r="F253" s="42" t="s">
        <v>173</v>
      </c>
      <c r="G253" s="43">
        <v>43282</v>
      </c>
      <c r="H253" s="47"/>
      <c r="I253" s="53"/>
      <c r="J253" s="53"/>
      <c r="K253" s="56" t="s">
        <v>165</v>
      </c>
      <c r="L253" s="53"/>
      <c r="M253" s="57">
        <v>7476.35</v>
      </c>
      <c r="N253" s="57">
        <v>7474.732</v>
      </c>
      <c r="O253" s="57">
        <f>7316.6-210</f>
        <v>7106.6</v>
      </c>
      <c r="P253" s="57">
        <f t="shared" si="5"/>
        <v>7106.6</v>
      </c>
      <c r="Q253" s="53"/>
      <c r="R253" s="46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ht="46.5" customHeight="1">
      <c r="A254" s="53" t="s">
        <v>461</v>
      </c>
      <c r="B254" s="53" t="s">
        <v>301</v>
      </c>
      <c r="C254" s="41" t="s">
        <v>60</v>
      </c>
      <c r="D254" s="41" t="s">
        <v>325</v>
      </c>
      <c r="E254" s="41"/>
      <c r="F254" s="42" t="s">
        <v>201</v>
      </c>
      <c r="G254" s="55">
        <v>41594</v>
      </c>
      <c r="H254" s="53" t="s">
        <v>134</v>
      </c>
      <c r="I254" s="53">
        <v>1003</v>
      </c>
      <c r="J254" s="53">
        <v>7030060120</v>
      </c>
      <c r="K254" s="56" t="s">
        <v>159</v>
      </c>
      <c r="L254" s="53">
        <v>200</v>
      </c>
      <c r="M254" s="57">
        <v>17.3</v>
      </c>
      <c r="N254" s="57">
        <v>15.258</v>
      </c>
      <c r="O254" s="57">
        <v>26.8</v>
      </c>
      <c r="P254" s="57">
        <f t="shared" si="5"/>
        <v>26.8</v>
      </c>
      <c r="Q254" s="53" t="s">
        <v>136</v>
      </c>
      <c r="R254" s="46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ht="87" customHeight="1">
      <c r="A255" s="61"/>
      <c r="B255" s="53"/>
      <c r="C255" s="41"/>
      <c r="D255" s="84" t="s">
        <v>202</v>
      </c>
      <c r="E255" s="84"/>
      <c r="F255" s="42" t="s">
        <v>173</v>
      </c>
      <c r="G255" s="53"/>
      <c r="H255" s="53"/>
      <c r="I255" s="53"/>
      <c r="J255" s="53"/>
      <c r="K255" s="56" t="s">
        <v>165</v>
      </c>
      <c r="L255" s="53"/>
      <c r="M255" s="57">
        <v>2391</v>
      </c>
      <c r="N255" s="57">
        <v>2327.558</v>
      </c>
      <c r="O255" s="57">
        <v>2676.4</v>
      </c>
      <c r="P255" s="57">
        <f t="shared" si="5"/>
        <v>2676.4</v>
      </c>
      <c r="Q255" s="53"/>
      <c r="R255" s="46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ht="34.5" customHeight="1">
      <c r="A256" s="53" t="s">
        <v>461</v>
      </c>
      <c r="B256" s="53" t="s">
        <v>302</v>
      </c>
      <c r="C256" s="41" t="s">
        <v>121</v>
      </c>
      <c r="D256" s="41" t="s">
        <v>326</v>
      </c>
      <c r="E256" s="60"/>
      <c r="F256" s="53" t="s">
        <v>203</v>
      </c>
      <c r="G256" s="55">
        <v>41732</v>
      </c>
      <c r="H256" s="53" t="s">
        <v>134</v>
      </c>
      <c r="I256" s="53">
        <v>1003</v>
      </c>
      <c r="J256" s="53">
        <v>7030060130</v>
      </c>
      <c r="K256" s="56" t="s">
        <v>159</v>
      </c>
      <c r="L256" s="53">
        <v>200</v>
      </c>
      <c r="M256" s="57">
        <v>13.5</v>
      </c>
      <c r="N256" s="57">
        <v>11.555</v>
      </c>
      <c r="O256" s="57">
        <v>15.5</v>
      </c>
      <c r="P256" s="57">
        <f t="shared" si="5"/>
        <v>15.5</v>
      </c>
      <c r="Q256" s="53" t="s">
        <v>140</v>
      </c>
      <c r="R256" s="46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ht="34.5" customHeight="1">
      <c r="A257" s="61"/>
      <c r="B257" s="53"/>
      <c r="C257" s="41"/>
      <c r="D257" s="60"/>
      <c r="E257" s="60"/>
      <c r="F257" s="53"/>
      <c r="G257" s="53"/>
      <c r="H257" s="53"/>
      <c r="I257" s="53"/>
      <c r="J257" s="53"/>
      <c r="K257" s="56" t="s">
        <v>165</v>
      </c>
      <c r="L257" s="53"/>
      <c r="M257" s="57">
        <v>1149.5</v>
      </c>
      <c r="N257" s="57">
        <v>1076.319</v>
      </c>
      <c r="O257" s="57">
        <v>1149.5</v>
      </c>
      <c r="P257" s="57">
        <f t="shared" si="5"/>
        <v>1149.5</v>
      </c>
      <c r="Q257" s="53"/>
      <c r="R257" s="46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ht="144" customHeight="1">
      <c r="A258" s="42" t="s">
        <v>444</v>
      </c>
      <c r="B258" s="42" t="s">
        <v>340</v>
      </c>
      <c r="C258" s="67" t="s">
        <v>139</v>
      </c>
      <c r="D258" s="41" t="s">
        <v>308</v>
      </c>
      <c r="E258" s="41"/>
      <c r="F258" s="42" t="s">
        <v>173</v>
      </c>
      <c r="G258" s="43">
        <v>38814</v>
      </c>
      <c r="H258" s="42" t="s">
        <v>134</v>
      </c>
      <c r="I258" s="42">
        <v>1003</v>
      </c>
      <c r="J258" s="42">
        <v>9900060200</v>
      </c>
      <c r="K258" s="56" t="s">
        <v>165</v>
      </c>
      <c r="L258" s="42">
        <v>262</v>
      </c>
      <c r="M258" s="57">
        <v>900</v>
      </c>
      <c r="N258" s="57">
        <v>845.6</v>
      </c>
      <c r="O258" s="57">
        <f>1000+1000</f>
        <v>2000</v>
      </c>
      <c r="P258" s="57">
        <v>10000</v>
      </c>
      <c r="Q258" s="42" t="s">
        <v>136</v>
      </c>
      <c r="R258" s="46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ht="72" customHeight="1">
      <c r="A259" s="53" t="s">
        <v>453</v>
      </c>
      <c r="B259" s="53" t="s">
        <v>341</v>
      </c>
      <c r="C259" s="40" t="s">
        <v>63</v>
      </c>
      <c r="D259" s="84" t="s">
        <v>305</v>
      </c>
      <c r="E259" s="84"/>
      <c r="F259" s="42" t="s">
        <v>208</v>
      </c>
      <c r="G259" s="76">
        <v>43101</v>
      </c>
      <c r="H259" s="76" t="s">
        <v>9</v>
      </c>
      <c r="I259" s="53">
        <v>1004</v>
      </c>
      <c r="J259" s="53">
        <v>3050120030</v>
      </c>
      <c r="K259" s="56" t="s">
        <v>159</v>
      </c>
      <c r="L259" s="53">
        <v>200</v>
      </c>
      <c r="M259" s="57">
        <v>49.49</v>
      </c>
      <c r="N259" s="57">
        <v>5.033</v>
      </c>
      <c r="O259" s="57">
        <v>0</v>
      </c>
      <c r="P259" s="57">
        <f>O259*1.065</f>
        <v>0</v>
      </c>
      <c r="Q259" s="144" t="s">
        <v>140</v>
      </c>
      <c r="R259" s="46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ht="83.25" customHeight="1">
      <c r="A260" s="53"/>
      <c r="B260" s="53"/>
      <c r="C260" s="78"/>
      <c r="D260" s="139" t="s">
        <v>230</v>
      </c>
      <c r="E260" s="140"/>
      <c r="F260" s="42" t="s">
        <v>209</v>
      </c>
      <c r="G260" s="80"/>
      <c r="H260" s="77"/>
      <c r="I260" s="53"/>
      <c r="J260" s="53"/>
      <c r="K260" s="56" t="s">
        <v>165</v>
      </c>
      <c r="L260" s="53"/>
      <c r="M260" s="57">
        <v>10651.82</v>
      </c>
      <c r="N260" s="57">
        <v>10950.9</v>
      </c>
      <c r="O260" s="57">
        <f>27764-2249.8+2249.8-4631.3</f>
        <v>23132.7</v>
      </c>
      <c r="P260" s="57">
        <f>O260*1.065</f>
        <v>24636.3255</v>
      </c>
      <c r="Q260" s="144"/>
      <c r="R260" s="46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ht="58.5" customHeight="1">
      <c r="A261" s="53"/>
      <c r="B261" s="53"/>
      <c r="C261" s="48"/>
      <c r="D261" s="41" t="s">
        <v>187</v>
      </c>
      <c r="E261" s="41"/>
      <c r="F261" s="42" t="s">
        <v>188</v>
      </c>
      <c r="G261" s="82"/>
      <c r="H261" s="47"/>
      <c r="I261" s="53"/>
      <c r="J261" s="53"/>
      <c r="K261" s="56" t="s">
        <v>126</v>
      </c>
      <c r="L261" s="53"/>
      <c r="M261" s="57">
        <v>14444.4</v>
      </c>
      <c r="N261" s="57">
        <v>14440.03</v>
      </c>
      <c r="O261" s="57">
        <f>2249.8-2249.8</f>
        <v>0</v>
      </c>
      <c r="P261" s="57">
        <f>O261</f>
        <v>0</v>
      </c>
      <c r="Q261" s="144"/>
      <c r="R261" s="46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ht="98.25" customHeight="1">
      <c r="A262" s="42" t="s">
        <v>452</v>
      </c>
      <c r="B262" s="42" t="s">
        <v>355</v>
      </c>
      <c r="C262" s="67" t="s">
        <v>294</v>
      </c>
      <c r="D262" s="165" t="s">
        <v>487</v>
      </c>
      <c r="E262" s="166"/>
      <c r="F262" s="42" t="s">
        <v>488</v>
      </c>
      <c r="G262" s="167">
        <v>43466</v>
      </c>
      <c r="H262" s="43">
        <v>43830</v>
      </c>
      <c r="I262" s="42">
        <v>1004</v>
      </c>
      <c r="J262" s="42">
        <v>3050452600</v>
      </c>
      <c r="K262" s="56" t="s">
        <v>165</v>
      </c>
      <c r="L262" s="42">
        <v>200</v>
      </c>
      <c r="M262" s="57">
        <v>70.4</v>
      </c>
      <c r="N262" s="57">
        <v>70.4</v>
      </c>
      <c r="O262" s="57">
        <v>1081.7</v>
      </c>
      <c r="P262" s="57">
        <f>O262</f>
        <v>1081.7</v>
      </c>
      <c r="Q262" s="42" t="s">
        <v>136</v>
      </c>
      <c r="R262" s="46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ht="69" customHeight="1">
      <c r="A263" s="42" t="s">
        <v>452</v>
      </c>
      <c r="B263" s="42" t="s">
        <v>321</v>
      </c>
      <c r="C263" s="67" t="s">
        <v>99</v>
      </c>
      <c r="D263" s="165" t="s">
        <v>489</v>
      </c>
      <c r="E263" s="166"/>
      <c r="F263" s="42" t="s">
        <v>212</v>
      </c>
      <c r="G263" s="43">
        <v>43466</v>
      </c>
      <c r="H263" s="43">
        <v>43830</v>
      </c>
      <c r="I263" s="42">
        <v>1004</v>
      </c>
      <c r="J263" s="42">
        <v>3050460240</v>
      </c>
      <c r="K263" s="56" t="s">
        <v>165</v>
      </c>
      <c r="L263" s="42">
        <v>200</v>
      </c>
      <c r="M263" s="57">
        <v>9409.3</v>
      </c>
      <c r="N263" s="57">
        <v>9298.9</v>
      </c>
      <c r="O263" s="57">
        <v>10042</v>
      </c>
      <c r="P263" s="57">
        <f>O263*1.04</f>
        <v>10443.68</v>
      </c>
      <c r="Q263" s="42" t="s">
        <v>136</v>
      </c>
      <c r="R263" s="46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ht="51.75" customHeight="1">
      <c r="A264" s="42" t="s">
        <v>461</v>
      </c>
      <c r="B264" s="42" t="s">
        <v>347</v>
      </c>
      <c r="C264" s="67" t="s">
        <v>123</v>
      </c>
      <c r="D264" s="164" t="s">
        <v>124</v>
      </c>
      <c r="E264" s="41"/>
      <c r="F264" s="42" t="s">
        <v>178</v>
      </c>
      <c r="G264" s="43">
        <v>41480</v>
      </c>
      <c r="H264" s="42" t="s">
        <v>9</v>
      </c>
      <c r="I264" s="56" t="s">
        <v>149</v>
      </c>
      <c r="J264" s="56" t="s">
        <v>378</v>
      </c>
      <c r="K264" s="56" t="s">
        <v>159</v>
      </c>
      <c r="L264" s="56" t="s">
        <v>159</v>
      </c>
      <c r="M264" s="57">
        <v>381.369</v>
      </c>
      <c r="N264" s="57">
        <v>381.369</v>
      </c>
      <c r="O264" s="57">
        <v>720</v>
      </c>
      <c r="P264" s="57">
        <v>720</v>
      </c>
      <c r="Q264" s="42" t="s">
        <v>135</v>
      </c>
      <c r="R264" s="46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18" s="14" customFormat="1" ht="22.5" customHeight="1">
      <c r="A265" s="53" t="s">
        <v>440</v>
      </c>
      <c r="B265" s="53" t="s">
        <v>352</v>
      </c>
      <c r="C265" s="41" t="s">
        <v>441</v>
      </c>
      <c r="D265" s="164" t="s">
        <v>490</v>
      </c>
      <c r="E265" s="41"/>
      <c r="F265" s="53" t="s">
        <v>491</v>
      </c>
      <c r="G265" s="55">
        <v>43101</v>
      </c>
      <c r="H265" s="55">
        <v>44196</v>
      </c>
      <c r="I265" s="63" t="s">
        <v>149</v>
      </c>
      <c r="J265" s="63" t="s">
        <v>442</v>
      </c>
      <c r="K265" s="56" t="s">
        <v>163</v>
      </c>
      <c r="L265" s="56" t="s">
        <v>159</v>
      </c>
      <c r="M265" s="57">
        <v>95.452</v>
      </c>
      <c r="N265" s="57">
        <v>95.452</v>
      </c>
      <c r="O265" s="57">
        <v>0</v>
      </c>
      <c r="P265" s="57">
        <f>O265</f>
        <v>0</v>
      </c>
      <c r="Q265" s="53" t="s">
        <v>135</v>
      </c>
      <c r="R265" s="46"/>
    </row>
    <row r="266" spans="1:18" s="14" customFormat="1" ht="22.5" customHeight="1">
      <c r="A266" s="53"/>
      <c r="B266" s="53"/>
      <c r="C266" s="41"/>
      <c r="D266" s="41"/>
      <c r="E266" s="41"/>
      <c r="F266" s="61"/>
      <c r="G266" s="53"/>
      <c r="H266" s="53"/>
      <c r="I266" s="63"/>
      <c r="J266" s="53"/>
      <c r="K266" s="56" t="s">
        <v>159</v>
      </c>
      <c r="L266" s="56" t="s">
        <v>128</v>
      </c>
      <c r="M266" s="57">
        <v>2578.816</v>
      </c>
      <c r="N266" s="57">
        <v>2559.823</v>
      </c>
      <c r="O266" s="57">
        <f>1265.9+163.77</f>
        <v>1429.67</v>
      </c>
      <c r="P266" s="57">
        <f>O266*1.04</f>
        <v>1486.8568</v>
      </c>
      <c r="Q266" s="53"/>
      <c r="R266" s="168"/>
    </row>
    <row r="267" spans="1:18" s="14" customFormat="1" ht="22.5" customHeight="1">
      <c r="A267" s="53"/>
      <c r="B267" s="53"/>
      <c r="C267" s="41"/>
      <c r="D267" s="41"/>
      <c r="E267" s="41"/>
      <c r="F267" s="61"/>
      <c r="G267" s="53"/>
      <c r="H267" s="53"/>
      <c r="I267" s="63"/>
      <c r="J267" s="53"/>
      <c r="K267" s="56" t="s">
        <v>165</v>
      </c>
      <c r="L267" s="56" t="s">
        <v>159</v>
      </c>
      <c r="M267" s="57">
        <v>943.6</v>
      </c>
      <c r="N267" s="57">
        <v>784.387</v>
      </c>
      <c r="O267" s="57">
        <f>914.3+348.25</f>
        <v>1262.55</v>
      </c>
      <c r="P267" s="57">
        <f>O267*1.04</f>
        <v>1313.052</v>
      </c>
      <c r="Q267" s="53"/>
      <c r="R267" s="46"/>
    </row>
    <row r="268" spans="1:18" s="20" customFormat="1" ht="22.5" customHeight="1">
      <c r="A268" s="53"/>
      <c r="B268" s="53"/>
      <c r="C268" s="41"/>
      <c r="D268" s="41"/>
      <c r="E268" s="41"/>
      <c r="F268" s="61"/>
      <c r="G268" s="53"/>
      <c r="H268" s="53"/>
      <c r="I268" s="63"/>
      <c r="J268" s="53"/>
      <c r="K268" s="56" t="s">
        <v>126</v>
      </c>
      <c r="L268" s="56" t="s">
        <v>159</v>
      </c>
      <c r="M268" s="57">
        <v>648.6</v>
      </c>
      <c r="N268" s="57">
        <v>648.6</v>
      </c>
      <c r="O268" s="57">
        <f>2188.1-56.703-164.96754</f>
        <v>1966.4294599999998</v>
      </c>
      <c r="P268" s="57">
        <f>O268*1.04</f>
        <v>2045.0866383999999</v>
      </c>
      <c r="Q268" s="53"/>
      <c r="R268" s="159"/>
    </row>
    <row r="269" spans="1:53" ht="23.25" customHeight="1">
      <c r="A269" s="53" t="s">
        <v>461</v>
      </c>
      <c r="B269" s="53" t="s">
        <v>353</v>
      </c>
      <c r="C269" s="40" t="s">
        <v>64</v>
      </c>
      <c r="D269" s="41" t="s">
        <v>263</v>
      </c>
      <c r="E269" s="41"/>
      <c r="F269" s="53" t="s">
        <v>172</v>
      </c>
      <c r="G269" s="55">
        <v>41068</v>
      </c>
      <c r="H269" s="53" t="s">
        <v>9</v>
      </c>
      <c r="I269" s="63" t="s">
        <v>149</v>
      </c>
      <c r="J269" s="63" t="s">
        <v>217</v>
      </c>
      <c r="K269" s="56" t="s">
        <v>163</v>
      </c>
      <c r="L269" s="42">
        <v>200</v>
      </c>
      <c r="M269" s="57">
        <v>26985.284</v>
      </c>
      <c r="N269" s="57">
        <v>26868.954</v>
      </c>
      <c r="O269" s="57">
        <f>27051.1+31.2</f>
        <v>27082.3</v>
      </c>
      <c r="P269" s="57">
        <f>O269</f>
        <v>27082.3</v>
      </c>
      <c r="Q269" s="53" t="s">
        <v>140</v>
      </c>
      <c r="R269" s="46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53" ht="23.25" customHeight="1">
      <c r="A270" s="53"/>
      <c r="B270" s="53"/>
      <c r="C270" s="78"/>
      <c r="D270" s="60"/>
      <c r="E270" s="60"/>
      <c r="F270" s="61"/>
      <c r="G270" s="55"/>
      <c r="H270" s="53"/>
      <c r="I270" s="63"/>
      <c r="J270" s="63"/>
      <c r="K270" s="56" t="s">
        <v>159</v>
      </c>
      <c r="L270" s="42" t="s">
        <v>128</v>
      </c>
      <c r="M270" s="57">
        <v>4767.47</v>
      </c>
      <c r="N270" s="57">
        <v>4070.594</v>
      </c>
      <c r="O270" s="57">
        <f>4999.9-31.2</f>
        <v>4968.7</v>
      </c>
      <c r="P270" s="57">
        <f>O270*1.04</f>
        <v>5167.448</v>
      </c>
      <c r="Q270" s="53"/>
      <c r="R270" s="46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 ht="23.25" customHeight="1">
      <c r="A271" s="53"/>
      <c r="B271" s="53"/>
      <c r="C271" s="48"/>
      <c r="D271" s="60"/>
      <c r="E271" s="60"/>
      <c r="F271" s="61"/>
      <c r="G271" s="55"/>
      <c r="H271" s="53"/>
      <c r="I271" s="53"/>
      <c r="J271" s="53"/>
      <c r="K271" s="42">
        <v>800</v>
      </c>
      <c r="L271" s="42">
        <v>200</v>
      </c>
      <c r="M271" s="57">
        <v>59.97</v>
      </c>
      <c r="N271" s="57">
        <v>59.25</v>
      </c>
      <c r="O271" s="57">
        <v>47</v>
      </c>
      <c r="P271" s="57">
        <f>O271</f>
        <v>47</v>
      </c>
      <c r="Q271" s="53"/>
      <c r="R271" s="46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</row>
    <row r="272" spans="1:53" ht="98.25" customHeight="1">
      <c r="A272" s="53">
        <v>812</v>
      </c>
      <c r="B272" s="53" t="s">
        <v>354</v>
      </c>
      <c r="C272" s="41" t="s">
        <v>443</v>
      </c>
      <c r="D272" s="41" t="s">
        <v>474</v>
      </c>
      <c r="E272" s="41"/>
      <c r="F272" s="42" t="s">
        <v>276</v>
      </c>
      <c r="G272" s="55">
        <v>40544</v>
      </c>
      <c r="H272" s="53" t="s">
        <v>9</v>
      </c>
      <c r="I272" s="63" t="s">
        <v>157</v>
      </c>
      <c r="J272" s="63" t="s">
        <v>379</v>
      </c>
      <c r="K272" s="63" t="s">
        <v>126</v>
      </c>
      <c r="L272" s="53">
        <v>241</v>
      </c>
      <c r="M272" s="64">
        <v>86385.9</v>
      </c>
      <c r="N272" s="64">
        <v>86385.9</v>
      </c>
      <c r="O272" s="64">
        <v>87527</v>
      </c>
      <c r="P272" s="64">
        <f>O272*1.04</f>
        <v>91028.08</v>
      </c>
      <c r="Q272" s="53" t="s">
        <v>140</v>
      </c>
      <c r="R272" s="46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</row>
    <row r="273" spans="1:53" ht="86.25" customHeight="1">
      <c r="A273" s="53"/>
      <c r="B273" s="53"/>
      <c r="C273" s="41"/>
      <c r="D273" s="41" t="s">
        <v>58</v>
      </c>
      <c r="E273" s="41"/>
      <c r="F273" s="42" t="s">
        <v>189</v>
      </c>
      <c r="G273" s="55"/>
      <c r="H273" s="53"/>
      <c r="I273" s="63"/>
      <c r="J273" s="63"/>
      <c r="K273" s="63"/>
      <c r="L273" s="53"/>
      <c r="M273" s="64"/>
      <c r="N273" s="64"/>
      <c r="O273" s="64"/>
      <c r="P273" s="64"/>
      <c r="Q273" s="53"/>
      <c r="R273" s="46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</row>
    <row r="274" spans="1:53" ht="87" customHeight="1">
      <c r="A274" s="53">
        <v>812</v>
      </c>
      <c r="B274" s="53" t="s">
        <v>524</v>
      </c>
      <c r="C274" s="41" t="s">
        <v>548</v>
      </c>
      <c r="D274" s="41" t="s">
        <v>230</v>
      </c>
      <c r="E274" s="41"/>
      <c r="F274" s="42" t="s">
        <v>209</v>
      </c>
      <c r="G274" s="55">
        <v>43524</v>
      </c>
      <c r="H274" s="55">
        <v>43830</v>
      </c>
      <c r="I274" s="63" t="s">
        <v>157</v>
      </c>
      <c r="J274" s="63" t="s">
        <v>525</v>
      </c>
      <c r="K274" s="63" t="s">
        <v>126</v>
      </c>
      <c r="L274" s="53">
        <v>241</v>
      </c>
      <c r="M274" s="64">
        <v>0</v>
      </c>
      <c r="N274" s="64">
        <v>0</v>
      </c>
      <c r="O274" s="64">
        <v>269.37</v>
      </c>
      <c r="P274" s="64">
        <v>0</v>
      </c>
      <c r="Q274" s="53" t="s">
        <v>140</v>
      </c>
      <c r="R274" s="46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</row>
    <row r="275" spans="1:53" ht="58.5" customHeight="1">
      <c r="A275" s="53"/>
      <c r="B275" s="53"/>
      <c r="C275" s="41"/>
      <c r="D275" s="41" t="s">
        <v>187</v>
      </c>
      <c r="E275" s="41"/>
      <c r="F275" s="42" t="s">
        <v>188</v>
      </c>
      <c r="G275" s="55"/>
      <c r="H275" s="53"/>
      <c r="I275" s="63"/>
      <c r="J275" s="63"/>
      <c r="K275" s="63"/>
      <c r="L275" s="53"/>
      <c r="M275" s="64"/>
      <c r="N275" s="64"/>
      <c r="O275" s="64"/>
      <c r="P275" s="64"/>
      <c r="Q275" s="53"/>
      <c r="R275" s="46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</row>
    <row r="276" spans="1:53" ht="84" customHeight="1">
      <c r="A276" s="53"/>
      <c r="B276" s="53"/>
      <c r="C276" s="41"/>
      <c r="D276" s="41" t="s">
        <v>58</v>
      </c>
      <c r="E276" s="41"/>
      <c r="F276" s="42" t="s">
        <v>189</v>
      </c>
      <c r="G276" s="55"/>
      <c r="H276" s="53"/>
      <c r="I276" s="63"/>
      <c r="J276" s="63"/>
      <c r="K276" s="63"/>
      <c r="L276" s="53"/>
      <c r="M276" s="64"/>
      <c r="N276" s="64"/>
      <c r="O276" s="64"/>
      <c r="P276" s="64"/>
      <c r="Q276" s="53"/>
      <c r="R276" s="46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</row>
    <row r="277" spans="1:53" ht="42" customHeight="1">
      <c r="A277" s="53" t="s">
        <v>436</v>
      </c>
      <c r="B277" s="53" t="s">
        <v>468</v>
      </c>
      <c r="C277" s="41" t="s">
        <v>264</v>
      </c>
      <c r="D277" s="41" t="s">
        <v>265</v>
      </c>
      <c r="E277" s="60"/>
      <c r="F277" s="53" t="s">
        <v>277</v>
      </c>
      <c r="G277" s="55">
        <v>41312</v>
      </c>
      <c r="H277" s="53" t="s">
        <v>9</v>
      </c>
      <c r="I277" s="63" t="s">
        <v>65</v>
      </c>
      <c r="J277" s="63" t="s">
        <v>533</v>
      </c>
      <c r="K277" s="56" t="s">
        <v>159</v>
      </c>
      <c r="L277" s="53">
        <v>200</v>
      </c>
      <c r="M277" s="57">
        <v>720</v>
      </c>
      <c r="N277" s="57">
        <v>719.7</v>
      </c>
      <c r="O277" s="57">
        <f>720-190</f>
        <v>530</v>
      </c>
      <c r="P277" s="57">
        <f>O277*1</f>
        <v>530</v>
      </c>
      <c r="Q277" s="53" t="s">
        <v>140</v>
      </c>
      <c r="R277" s="46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</row>
    <row r="278" spans="1:53" ht="42" customHeight="1">
      <c r="A278" s="53"/>
      <c r="B278" s="53"/>
      <c r="C278" s="41"/>
      <c r="D278" s="60"/>
      <c r="E278" s="60"/>
      <c r="F278" s="53"/>
      <c r="G278" s="55"/>
      <c r="H278" s="53"/>
      <c r="I278" s="63"/>
      <c r="J278" s="63"/>
      <c r="K278" s="56" t="s">
        <v>165</v>
      </c>
      <c r="L278" s="53"/>
      <c r="M278" s="57">
        <v>480</v>
      </c>
      <c r="N278" s="57">
        <v>480</v>
      </c>
      <c r="O278" s="57">
        <v>480</v>
      </c>
      <c r="P278" s="57">
        <f>O278*1</f>
        <v>480</v>
      </c>
      <c r="Q278" s="53"/>
      <c r="R278" s="46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</row>
    <row r="279" spans="1:53" ht="122.25" customHeight="1">
      <c r="A279" s="42">
        <v>812</v>
      </c>
      <c r="B279" s="42" t="s">
        <v>526</v>
      </c>
      <c r="C279" s="67" t="s">
        <v>527</v>
      </c>
      <c r="D279" s="41" t="s">
        <v>540</v>
      </c>
      <c r="E279" s="102"/>
      <c r="F279" s="26" t="s">
        <v>541</v>
      </c>
      <c r="G279" s="43">
        <v>43466</v>
      </c>
      <c r="H279" s="43">
        <v>43830</v>
      </c>
      <c r="I279" s="56" t="s">
        <v>528</v>
      </c>
      <c r="J279" s="56" t="s">
        <v>529</v>
      </c>
      <c r="K279" s="56" t="s">
        <v>164</v>
      </c>
      <c r="L279" s="42">
        <v>242</v>
      </c>
      <c r="M279" s="57">
        <v>0</v>
      </c>
      <c r="N279" s="57">
        <v>0</v>
      </c>
      <c r="O279" s="57">
        <f>17489.5-17489.5</f>
        <v>0</v>
      </c>
      <c r="P279" s="57">
        <v>0</v>
      </c>
      <c r="Q279" s="42" t="s">
        <v>140</v>
      </c>
      <c r="R279" s="46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</row>
    <row r="280" spans="1:53" ht="99.75" customHeight="1">
      <c r="A280" s="53">
        <v>812</v>
      </c>
      <c r="B280" s="53" t="s">
        <v>469</v>
      </c>
      <c r="C280" s="84" t="s">
        <v>266</v>
      </c>
      <c r="D280" s="41" t="s">
        <v>474</v>
      </c>
      <c r="E280" s="41"/>
      <c r="F280" s="42" t="s">
        <v>209</v>
      </c>
      <c r="G280" s="55">
        <v>40544</v>
      </c>
      <c r="H280" s="53" t="s">
        <v>9</v>
      </c>
      <c r="I280" s="63" t="s">
        <v>66</v>
      </c>
      <c r="J280" s="63" t="s">
        <v>229</v>
      </c>
      <c r="K280" s="63" t="s">
        <v>126</v>
      </c>
      <c r="L280" s="53">
        <v>200</v>
      </c>
      <c r="M280" s="64">
        <v>6189.5</v>
      </c>
      <c r="N280" s="64">
        <v>6189.5</v>
      </c>
      <c r="O280" s="64">
        <v>6667</v>
      </c>
      <c r="P280" s="64">
        <f>O280*1.04</f>
        <v>6933.68</v>
      </c>
      <c r="Q280" s="53" t="s">
        <v>140</v>
      </c>
      <c r="R280" s="46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</row>
    <row r="281" spans="1:53" ht="96" customHeight="1">
      <c r="A281" s="53"/>
      <c r="B281" s="53"/>
      <c r="C281" s="84"/>
      <c r="D281" s="41" t="s">
        <v>213</v>
      </c>
      <c r="E281" s="41"/>
      <c r="F281" s="42" t="s">
        <v>189</v>
      </c>
      <c r="G281" s="55"/>
      <c r="H281" s="53"/>
      <c r="I281" s="63"/>
      <c r="J281" s="63"/>
      <c r="K281" s="63"/>
      <c r="L281" s="53"/>
      <c r="M281" s="64"/>
      <c r="N281" s="64"/>
      <c r="O281" s="64"/>
      <c r="P281" s="64"/>
      <c r="Q281" s="53"/>
      <c r="R281" s="46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</row>
    <row r="282" spans="1:53" ht="26.25" customHeight="1">
      <c r="A282" s="27" t="s">
        <v>281</v>
      </c>
      <c r="B282" s="28"/>
      <c r="C282" s="29"/>
      <c r="D282" s="30"/>
      <c r="E282" s="31"/>
      <c r="F282" s="26"/>
      <c r="G282" s="26"/>
      <c r="H282" s="26"/>
      <c r="I282" s="26"/>
      <c r="J282" s="26"/>
      <c r="K282" s="26"/>
      <c r="L282" s="26"/>
      <c r="M282" s="24">
        <f>SUM(M11:M281)</f>
        <v>3372021.330510002</v>
      </c>
      <c r="N282" s="24">
        <f>SUM(N11:N281)</f>
        <v>3411285.8289999994</v>
      </c>
      <c r="O282" s="24">
        <f>SUM(O11:O281)+0.1</f>
        <v>4088912.2667999994</v>
      </c>
      <c r="P282" s="24">
        <f>SUM(P11:P281)</f>
        <v>3539129.677006799</v>
      </c>
      <c r="Q282" s="26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</row>
    <row r="283" spans="1:53" ht="18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</row>
    <row r="284" spans="1:53" ht="22.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</row>
    <row r="285" spans="1:53" ht="25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</row>
    <row r="286" spans="1:53" ht="22.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</row>
    <row r="287" spans="1:53" ht="25.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</row>
    <row r="288" spans="1:53" ht="33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 ht="28.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 ht="22.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 ht="33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17" ht="24" customHeight="1">
      <c r="A292" s="16"/>
      <c r="B292" s="17"/>
      <c r="C292" s="18"/>
      <c r="D292" s="13"/>
      <c r="E292" s="13"/>
      <c r="F292" s="13"/>
      <c r="G292" s="17"/>
      <c r="H292" s="17"/>
      <c r="I292" s="17"/>
      <c r="J292" s="17"/>
      <c r="K292" s="17"/>
      <c r="L292" s="17"/>
      <c r="M292" s="17"/>
      <c r="N292" s="17"/>
      <c r="O292" s="17"/>
      <c r="P292" s="10"/>
      <c r="Q292" s="17"/>
    </row>
    <row r="293" spans="1:17" ht="27" customHeight="1">
      <c r="A293" s="16"/>
      <c r="B293" s="17"/>
      <c r="C293" s="18"/>
      <c r="D293" s="13"/>
      <c r="E293" s="13"/>
      <c r="F293" s="13"/>
      <c r="G293" s="17"/>
      <c r="H293" s="17"/>
      <c r="I293" s="17"/>
      <c r="J293" s="17"/>
      <c r="K293" s="17"/>
      <c r="L293" s="17"/>
      <c r="M293" s="17"/>
      <c r="N293" s="17"/>
      <c r="O293" s="17"/>
      <c r="P293" s="10"/>
      <c r="Q293" s="17"/>
    </row>
    <row r="295" spans="1:17" ht="21" customHeight="1">
      <c r="A295" s="16"/>
      <c r="B295" s="17"/>
      <c r="C295" s="18"/>
      <c r="D295" s="13"/>
      <c r="E295" s="13"/>
      <c r="F295" s="13"/>
      <c r="G295" s="17"/>
      <c r="H295" s="17"/>
      <c r="I295" s="17"/>
      <c r="J295" s="17"/>
      <c r="K295" s="17"/>
      <c r="L295" s="17"/>
      <c r="M295" s="17"/>
      <c r="N295" s="17"/>
      <c r="O295" s="17"/>
      <c r="P295" s="10"/>
      <c r="Q295" s="17"/>
    </row>
    <row r="296" spans="1:17" ht="20.25" customHeight="1">
      <c r="A296" s="16"/>
      <c r="B296" s="17"/>
      <c r="C296" s="18"/>
      <c r="D296" s="13"/>
      <c r="E296" s="13"/>
      <c r="F296" s="13"/>
      <c r="G296" s="17"/>
      <c r="H296" s="17"/>
      <c r="I296" s="17"/>
      <c r="J296" s="17"/>
      <c r="K296" s="17"/>
      <c r="L296" s="17"/>
      <c r="M296" s="17"/>
      <c r="N296" s="17"/>
      <c r="O296" s="17"/>
      <c r="P296" s="10"/>
      <c r="Q296" s="17"/>
    </row>
    <row r="297" spans="2:17" ht="21.75" customHeight="1">
      <c r="B297" s="9"/>
      <c r="C297" s="12"/>
      <c r="D297" s="12"/>
      <c r="E297" s="12"/>
      <c r="F297" s="12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2"/>
    </row>
  </sheetData>
  <sheetProtection/>
  <mergeCells count="1092">
    <mergeCell ref="A38:A43"/>
    <mergeCell ref="B38:B43"/>
    <mergeCell ref="C38:C43"/>
    <mergeCell ref="D38:E38"/>
    <mergeCell ref="Q38:Q43"/>
    <mergeCell ref="D39:E39"/>
    <mergeCell ref="J39:J43"/>
    <mergeCell ref="D40:E40"/>
    <mergeCell ref="D41:E41"/>
    <mergeCell ref="D42:E42"/>
    <mergeCell ref="J44:J45"/>
    <mergeCell ref="Q44:Q45"/>
    <mergeCell ref="D63:E63"/>
    <mergeCell ref="D101:E101"/>
    <mergeCell ref="D80:E82"/>
    <mergeCell ref="D60:E60"/>
    <mergeCell ref="H80:H82"/>
    <mergeCell ref="H61:H62"/>
    <mergeCell ref="D49:E51"/>
    <mergeCell ref="G52:G56"/>
    <mergeCell ref="A44:A45"/>
    <mergeCell ref="B44:B45"/>
    <mergeCell ref="C44:C45"/>
    <mergeCell ref="D44:E45"/>
    <mergeCell ref="F44:F45"/>
    <mergeCell ref="G44:G45"/>
    <mergeCell ref="J13:J17"/>
    <mergeCell ref="Q13:Q16"/>
    <mergeCell ref="K14:K15"/>
    <mergeCell ref="L14:L15"/>
    <mergeCell ref="M14:M15"/>
    <mergeCell ref="N14:N15"/>
    <mergeCell ref="O14:O15"/>
    <mergeCell ref="P14:P15"/>
    <mergeCell ref="P11:P12"/>
    <mergeCell ref="Q11:Q12"/>
    <mergeCell ref="D12:E12"/>
    <mergeCell ref="A13:A17"/>
    <mergeCell ref="B13:B17"/>
    <mergeCell ref="C13:C17"/>
    <mergeCell ref="D13:E16"/>
    <mergeCell ref="F13:F16"/>
    <mergeCell ref="G13:G16"/>
    <mergeCell ref="H13:H16"/>
    <mergeCell ref="J11:J12"/>
    <mergeCell ref="K11:K12"/>
    <mergeCell ref="L11:L12"/>
    <mergeCell ref="M11:M12"/>
    <mergeCell ref="N11:N12"/>
    <mergeCell ref="O11:O12"/>
    <mergeCell ref="I11:I12"/>
    <mergeCell ref="I13:I17"/>
    <mergeCell ref="H44:H45"/>
    <mergeCell ref="I44:I45"/>
    <mergeCell ref="D62:E62"/>
    <mergeCell ref="D43:E43"/>
    <mergeCell ref="D61:E61"/>
    <mergeCell ref="D57:E59"/>
    <mergeCell ref="G57:G59"/>
    <mergeCell ref="Q57:Q60"/>
    <mergeCell ref="L57:L58"/>
    <mergeCell ref="J57:J60"/>
    <mergeCell ref="I57:I60"/>
    <mergeCell ref="I61:I62"/>
    <mergeCell ref="H57:H60"/>
    <mergeCell ref="M61:M62"/>
    <mergeCell ref="N61:N62"/>
    <mergeCell ref="J109:J111"/>
    <mergeCell ref="L61:L62"/>
    <mergeCell ref="J85:J86"/>
    <mergeCell ref="M85:M86"/>
    <mergeCell ref="I98:I99"/>
    <mergeCell ref="H103:H104"/>
    <mergeCell ref="J98:J99"/>
    <mergeCell ref="K98:K99"/>
    <mergeCell ref="H68:H69"/>
    <mergeCell ref="I68:I69"/>
    <mergeCell ref="J92:J94"/>
    <mergeCell ref="K93:K94"/>
    <mergeCell ref="I71:I75"/>
    <mergeCell ref="C92:C94"/>
    <mergeCell ref="D92:E94"/>
    <mergeCell ref="F92:F94"/>
    <mergeCell ref="G92:G94"/>
    <mergeCell ref="C80:C82"/>
    <mergeCell ref="G71:G75"/>
    <mergeCell ref="H71:H75"/>
    <mergeCell ref="Q103:Q104"/>
    <mergeCell ref="D104:E104"/>
    <mergeCell ref="K103:K104"/>
    <mergeCell ref="L103:L104"/>
    <mergeCell ref="G103:G104"/>
    <mergeCell ref="D97:E97"/>
    <mergeCell ref="M98:M99"/>
    <mergeCell ref="N98:N99"/>
    <mergeCell ref="G98:G99"/>
    <mergeCell ref="D99:E99"/>
    <mergeCell ref="A68:A69"/>
    <mergeCell ref="B68:B69"/>
    <mergeCell ref="C68:C69"/>
    <mergeCell ref="D68:E69"/>
    <mergeCell ref="F68:F69"/>
    <mergeCell ref="G68:G69"/>
    <mergeCell ref="C96:C97"/>
    <mergeCell ref="Q87:Q89"/>
    <mergeCell ref="K88:K89"/>
    <mergeCell ref="H87:H89"/>
    <mergeCell ref="I85:I86"/>
    <mergeCell ref="H76:H78"/>
    <mergeCell ref="O85:O86"/>
    <mergeCell ref="H85:H86"/>
    <mergeCell ref="P85:P86"/>
    <mergeCell ref="Q85:Q86"/>
    <mergeCell ref="A76:A78"/>
    <mergeCell ref="B76:B78"/>
    <mergeCell ref="C76:C78"/>
    <mergeCell ref="A87:A89"/>
    <mergeCell ref="C87:C89"/>
    <mergeCell ref="A92:A94"/>
    <mergeCell ref="G61:G62"/>
    <mergeCell ref="D66:E66"/>
    <mergeCell ref="D67:E67"/>
    <mergeCell ref="J71:J75"/>
    <mergeCell ref="G76:G78"/>
    <mergeCell ref="D71:E75"/>
    <mergeCell ref="F71:F75"/>
    <mergeCell ref="J61:J62"/>
    <mergeCell ref="A49:A51"/>
    <mergeCell ref="B49:B51"/>
    <mergeCell ref="C49:C51"/>
    <mergeCell ref="A61:A62"/>
    <mergeCell ref="B61:B62"/>
    <mergeCell ref="C61:C62"/>
    <mergeCell ref="C57:C60"/>
    <mergeCell ref="B57:B60"/>
    <mergeCell ref="A57:A60"/>
    <mergeCell ref="A52:A56"/>
    <mergeCell ref="F57:F59"/>
    <mergeCell ref="D91:E91"/>
    <mergeCell ref="D87:E89"/>
    <mergeCell ref="F87:F89"/>
    <mergeCell ref="G87:G89"/>
    <mergeCell ref="D90:E90"/>
    <mergeCell ref="D76:E78"/>
    <mergeCell ref="D79:E79"/>
    <mergeCell ref="G85:G86"/>
    <mergeCell ref="D83:E83"/>
    <mergeCell ref="Q49:Q51"/>
    <mergeCell ref="H46:H48"/>
    <mergeCell ref="I46:I48"/>
    <mergeCell ref="F49:F51"/>
    <mergeCell ref="G49:G51"/>
    <mergeCell ref="G96:G97"/>
    <mergeCell ref="O61:O62"/>
    <mergeCell ref="P61:P62"/>
    <mergeCell ref="F76:F78"/>
    <mergeCell ref="Q76:Q78"/>
    <mergeCell ref="I49:I51"/>
    <mergeCell ref="J49:J51"/>
    <mergeCell ref="I87:I89"/>
    <mergeCell ref="J87:J89"/>
    <mergeCell ref="H49:H51"/>
    <mergeCell ref="J80:J82"/>
    <mergeCell ref="I80:I82"/>
    <mergeCell ref="I76:I78"/>
    <mergeCell ref="J76:J78"/>
    <mergeCell ref="I52:I56"/>
    <mergeCell ref="Q71:Q75"/>
    <mergeCell ref="O98:O99"/>
    <mergeCell ref="P98:P99"/>
    <mergeCell ref="D98:E98"/>
    <mergeCell ref="Q98:Q99"/>
    <mergeCell ref="H98:H99"/>
    <mergeCell ref="L98:L99"/>
    <mergeCell ref="Q93:Q94"/>
    <mergeCell ref="H92:H94"/>
    <mergeCell ref="I92:I94"/>
    <mergeCell ref="A178:A180"/>
    <mergeCell ref="P274:P276"/>
    <mergeCell ref="A274:A276"/>
    <mergeCell ref="B274:B276"/>
    <mergeCell ref="C274:C276"/>
    <mergeCell ref="G274:G276"/>
    <mergeCell ref="F194:F197"/>
    <mergeCell ref="H200:H201"/>
    <mergeCell ref="I219:I220"/>
    <mergeCell ref="G219:G220"/>
    <mergeCell ref="A103:A104"/>
    <mergeCell ref="B103:B104"/>
    <mergeCell ref="C103:C104"/>
    <mergeCell ref="D103:E103"/>
    <mergeCell ref="C145:C147"/>
    <mergeCell ref="D145:E146"/>
    <mergeCell ref="D147:E147"/>
    <mergeCell ref="A145:A147"/>
    <mergeCell ref="B114:B116"/>
    <mergeCell ref="C114:C116"/>
    <mergeCell ref="Q274:Q276"/>
    <mergeCell ref="D275:E275"/>
    <mergeCell ref="D276:E276"/>
    <mergeCell ref="H274:H276"/>
    <mergeCell ref="I274:I276"/>
    <mergeCell ref="D274:E274"/>
    <mergeCell ref="O274:O276"/>
    <mergeCell ref="I184:I186"/>
    <mergeCell ref="I178:I180"/>
    <mergeCell ref="G184:G186"/>
    <mergeCell ref="H184:H186"/>
    <mergeCell ref="I200:I201"/>
    <mergeCell ref="I191:I193"/>
    <mergeCell ref="H191:H193"/>
    <mergeCell ref="M148:M150"/>
    <mergeCell ref="B178:B180"/>
    <mergeCell ref="C178:C180"/>
    <mergeCell ref="D178:E178"/>
    <mergeCell ref="G178:G180"/>
    <mergeCell ref="H178:H180"/>
    <mergeCell ref="D179:E179"/>
    <mergeCell ref="D180:E180"/>
    <mergeCell ref="Q109:Q111"/>
    <mergeCell ref="M114:M116"/>
    <mergeCell ref="J219:J220"/>
    <mergeCell ref="K131:K133"/>
    <mergeCell ref="M131:M133"/>
    <mergeCell ref="N274:N276"/>
    <mergeCell ref="J274:J276"/>
    <mergeCell ref="K274:K276"/>
    <mergeCell ref="L274:L276"/>
    <mergeCell ref="M274:M276"/>
    <mergeCell ref="I138:I140"/>
    <mergeCell ref="P135:P137"/>
    <mergeCell ref="N121:N123"/>
    <mergeCell ref="O121:O123"/>
    <mergeCell ref="N127:N129"/>
    <mergeCell ref="P127:P129"/>
    <mergeCell ref="J131:J133"/>
    <mergeCell ref="D115:E115"/>
    <mergeCell ref="D127:E127"/>
    <mergeCell ref="H109:H111"/>
    <mergeCell ref="F109:F111"/>
    <mergeCell ref="B117:B120"/>
    <mergeCell ref="I109:I111"/>
    <mergeCell ref="P131:P133"/>
    <mergeCell ref="L131:L133"/>
    <mergeCell ref="M142:M144"/>
    <mergeCell ref="C109:C111"/>
    <mergeCell ref="I121:I123"/>
    <mergeCell ref="H117:H120"/>
    <mergeCell ref="L114:L116"/>
    <mergeCell ref="M127:M129"/>
    <mergeCell ref="M121:M123"/>
    <mergeCell ref="I114:I116"/>
    <mergeCell ref="H142:H144"/>
    <mergeCell ref="C135:C137"/>
    <mergeCell ref="Q145:Q147"/>
    <mergeCell ref="N138:N140"/>
    <mergeCell ref="L138:L140"/>
    <mergeCell ref="K135:K137"/>
    <mergeCell ref="K114:K116"/>
    <mergeCell ref="Q117:Q120"/>
    <mergeCell ref="Q114:Q116"/>
    <mergeCell ref="P121:P123"/>
    <mergeCell ref="P114:P116"/>
    <mergeCell ref="N114:N116"/>
    <mergeCell ref="O114:O116"/>
    <mergeCell ref="Q127:Q129"/>
    <mergeCell ref="Q121:Q123"/>
    <mergeCell ref="N131:N133"/>
    <mergeCell ref="P138:P140"/>
    <mergeCell ref="O135:O137"/>
    <mergeCell ref="Q165:Q168"/>
    <mergeCell ref="A184:A186"/>
    <mergeCell ref="B184:B186"/>
    <mergeCell ref="C184:C186"/>
    <mergeCell ref="D184:E186"/>
    <mergeCell ref="F184:F186"/>
    <mergeCell ref="C169:C171"/>
    <mergeCell ref="H169:H171"/>
    <mergeCell ref="F169:F171"/>
    <mergeCell ref="C165:C168"/>
    <mergeCell ref="Q169:Q171"/>
    <mergeCell ref="Q7:Q9"/>
    <mergeCell ref="Q80:Q82"/>
    <mergeCell ref="I8:I9"/>
    <mergeCell ref="J8:J9"/>
    <mergeCell ref="K8:K9"/>
    <mergeCell ref="L8:L9"/>
    <mergeCell ref="O8:O9"/>
    <mergeCell ref="P8:P9"/>
    <mergeCell ref="I7:L7"/>
    <mergeCell ref="O1:Q1"/>
    <mergeCell ref="O2:Q2"/>
    <mergeCell ref="E3:L3"/>
    <mergeCell ref="O3:Q3"/>
    <mergeCell ref="O4:Q4"/>
    <mergeCell ref="O5:Q5"/>
    <mergeCell ref="M7:P7"/>
    <mergeCell ref="M8:N8"/>
    <mergeCell ref="A7:A9"/>
    <mergeCell ref="B7:B9"/>
    <mergeCell ref="C7:C9"/>
    <mergeCell ref="D7:E9"/>
    <mergeCell ref="F7:F9"/>
    <mergeCell ref="G7:H7"/>
    <mergeCell ref="G8:G9"/>
    <mergeCell ref="H8:H9"/>
    <mergeCell ref="D10:E10"/>
    <mergeCell ref="A11:A12"/>
    <mergeCell ref="B11:B12"/>
    <mergeCell ref="C11:C12"/>
    <mergeCell ref="D11:E11"/>
    <mergeCell ref="D17:E17"/>
    <mergeCell ref="D18:E18"/>
    <mergeCell ref="A28:A30"/>
    <mergeCell ref="B28:B30"/>
    <mergeCell ref="C28:C30"/>
    <mergeCell ref="D28:E30"/>
    <mergeCell ref="F28:F30"/>
    <mergeCell ref="A23:A26"/>
    <mergeCell ref="B23:B26"/>
    <mergeCell ref="C23:C26"/>
    <mergeCell ref="G28:G30"/>
    <mergeCell ref="H28:H30"/>
    <mergeCell ref="I28:I30"/>
    <mergeCell ref="J28:J30"/>
    <mergeCell ref="Q28:Q30"/>
    <mergeCell ref="A19:A22"/>
    <mergeCell ref="B19:B22"/>
    <mergeCell ref="C19:C22"/>
    <mergeCell ref="D19:E22"/>
    <mergeCell ref="F19:F22"/>
    <mergeCell ref="G19:G22"/>
    <mergeCell ref="H19:H22"/>
    <mergeCell ref="I19:I22"/>
    <mergeCell ref="J19:J22"/>
    <mergeCell ref="Q19:Q22"/>
    <mergeCell ref="D27:E27"/>
    <mergeCell ref="D23:E26"/>
    <mergeCell ref="I23:I26"/>
    <mergeCell ref="F23:F26"/>
    <mergeCell ref="G23:G26"/>
    <mergeCell ref="Q23:Q26"/>
    <mergeCell ref="A31:A33"/>
    <mergeCell ref="B31:B33"/>
    <mergeCell ref="C31:C33"/>
    <mergeCell ref="D31:E33"/>
    <mergeCell ref="F31:F33"/>
    <mergeCell ref="G31:G33"/>
    <mergeCell ref="H31:H33"/>
    <mergeCell ref="I31:I33"/>
    <mergeCell ref="J31:J33"/>
    <mergeCell ref="Q31:Q33"/>
    <mergeCell ref="A34:A37"/>
    <mergeCell ref="B34:B37"/>
    <mergeCell ref="C34:C37"/>
    <mergeCell ref="D34:E37"/>
    <mergeCell ref="F34:F37"/>
    <mergeCell ref="G34:G37"/>
    <mergeCell ref="H34:H37"/>
    <mergeCell ref="I34:I37"/>
    <mergeCell ref="J34:J37"/>
    <mergeCell ref="Q34:Q37"/>
    <mergeCell ref="A46:A48"/>
    <mergeCell ref="B46:B48"/>
    <mergeCell ref="C46:C48"/>
    <mergeCell ref="D46:E47"/>
    <mergeCell ref="F46:F47"/>
    <mergeCell ref="Q46:Q48"/>
    <mergeCell ref="D48:E48"/>
    <mergeCell ref="G46:G48"/>
    <mergeCell ref="J46:J48"/>
    <mergeCell ref="Q148:Q150"/>
    <mergeCell ref="O138:O140"/>
    <mergeCell ref="Q135:Q137"/>
    <mergeCell ref="M138:M140"/>
    <mergeCell ref="Q138:Q140"/>
    <mergeCell ref="K121:K123"/>
    <mergeCell ref="O131:O133"/>
    <mergeCell ref="Q131:Q133"/>
    <mergeCell ref="O148:O150"/>
    <mergeCell ref="N148:N150"/>
    <mergeCell ref="C162:C164"/>
    <mergeCell ref="H114:H116"/>
    <mergeCell ref="H148:H150"/>
    <mergeCell ref="D162:E164"/>
    <mergeCell ref="D137:E137"/>
    <mergeCell ref="D117:E120"/>
    <mergeCell ref="G114:G116"/>
    <mergeCell ref="H121:H123"/>
    <mergeCell ref="D133:E133"/>
    <mergeCell ref="H127:H129"/>
    <mergeCell ref="D139:E139"/>
    <mergeCell ref="D128:E128"/>
    <mergeCell ref="D136:E136"/>
    <mergeCell ref="D135:E135"/>
    <mergeCell ref="D131:E131"/>
    <mergeCell ref="D130:E130"/>
    <mergeCell ref="D134:E134"/>
    <mergeCell ref="G121:G123"/>
    <mergeCell ref="G127:G129"/>
    <mergeCell ref="D132:E132"/>
    <mergeCell ref="D122:E122"/>
    <mergeCell ref="F117:F120"/>
    <mergeCell ref="G131:G133"/>
    <mergeCell ref="D125:E125"/>
    <mergeCell ref="D105:E105"/>
    <mergeCell ref="D106:E106"/>
    <mergeCell ref="D107:E107"/>
    <mergeCell ref="D112:E112"/>
    <mergeCell ref="D109:E111"/>
    <mergeCell ref="A114:A116"/>
    <mergeCell ref="A109:A111"/>
    <mergeCell ref="D113:E113"/>
    <mergeCell ref="D140:E140"/>
    <mergeCell ref="D126:E126"/>
    <mergeCell ref="A96:A97"/>
    <mergeCell ref="D96:E96"/>
    <mergeCell ref="D123:E123"/>
    <mergeCell ref="B121:B123"/>
    <mergeCell ref="A71:A75"/>
    <mergeCell ref="B71:B75"/>
    <mergeCell ref="B109:B111"/>
    <mergeCell ref="A85:A86"/>
    <mergeCell ref="B80:B82"/>
    <mergeCell ref="B87:B89"/>
    <mergeCell ref="B92:B94"/>
    <mergeCell ref="B96:B97"/>
    <mergeCell ref="A80:A82"/>
    <mergeCell ref="C71:C75"/>
    <mergeCell ref="A117:A120"/>
    <mergeCell ref="A142:A144"/>
    <mergeCell ref="C142:C144"/>
    <mergeCell ref="A127:A129"/>
    <mergeCell ref="A98:A99"/>
    <mergeCell ref="B98:B99"/>
    <mergeCell ref="A121:A123"/>
    <mergeCell ref="A131:A133"/>
    <mergeCell ref="A135:A137"/>
    <mergeCell ref="B131:B133"/>
    <mergeCell ref="C131:C133"/>
    <mergeCell ref="P148:P150"/>
    <mergeCell ref="C148:C150"/>
    <mergeCell ref="A138:A140"/>
    <mergeCell ref="D148:E148"/>
    <mergeCell ref="D142:E142"/>
    <mergeCell ref="B142:B144"/>
    <mergeCell ref="K148:K150"/>
    <mergeCell ref="H145:H146"/>
    <mergeCell ref="L142:L144"/>
    <mergeCell ref="L148:L150"/>
    <mergeCell ref="K142:K144"/>
    <mergeCell ref="G142:G144"/>
    <mergeCell ref="G145:G146"/>
    <mergeCell ref="A148:A150"/>
    <mergeCell ref="D152:E152"/>
    <mergeCell ref="D153:E153"/>
    <mergeCell ref="B148:B150"/>
    <mergeCell ref="G148:G150"/>
    <mergeCell ref="D143:E143"/>
    <mergeCell ref="D144:E144"/>
    <mergeCell ref="F145:F146"/>
    <mergeCell ref="B145:B147"/>
    <mergeCell ref="M151:M153"/>
    <mergeCell ref="J148:J150"/>
    <mergeCell ref="H157:H158"/>
    <mergeCell ref="I157:I158"/>
    <mergeCell ref="N151:N153"/>
    <mergeCell ref="O151:O153"/>
    <mergeCell ref="L151:L153"/>
    <mergeCell ref="H154:H156"/>
    <mergeCell ref="I154:I156"/>
    <mergeCell ref="J154:J156"/>
    <mergeCell ref="A172:A174"/>
    <mergeCell ref="B172:B174"/>
    <mergeCell ref="C172:C174"/>
    <mergeCell ref="D172:E172"/>
    <mergeCell ref="A162:A164"/>
    <mergeCell ref="A165:A168"/>
    <mergeCell ref="D169:E171"/>
    <mergeCell ref="B165:B168"/>
    <mergeCell ref="D165:E168"/>
    <mergeCell ref="Q157:Q158"/>
    <mergeCell ref="Q151:Q153"/>
    <mergeCell ref="J151:J153"/>
    <mergeCell ref="K151:K153"/>
    <mergeCell ref="Q162:Q164"/>
    <mergeCell ref="J159:J161"/>
    <mergeCell ref="Q154:Q156"/>
    <mergeCell ref="P151:P153"/>
    <mergeCell ref="Q159:Q161"/>
    <mergeCell ref="J157:J158"/>
    <mergeCell ref="D173:E173"/>
    <mergeCell ref="I172:I174"/>
    <mergeCell ref="J172:J174"/>
    <mergeCell ref="K172:K174"/>
    <mergeCell ref="G172:G174"/>
    <mergeCell ref="F159:F161"/>
    <mergeCell ref="G159:G161"/>
    <mergeCell ref="G162:G164"/>
    <mergeCell ref="J169:J171"/>
    <mergeCell ref="G169:G171"/>
    <mergeCell ref="I162:I164"/>
    <mergeCell ref="J162:J164"/>
    <mergeCell ref="I165:I168"/>
    <mergeCell ref="J165:J168"/>
    <mergeCell ref="O172:O174"/>
    <mergeCell ref="N172:N174"/>
    <mergeCell ref="H162:H164"/>
    <mergeCell ref="F162:F164"/>
    <mergeCell ref="A169:A171"/>
    <mergeCell ref="I169:I171"/>
    <mergeCell ref="H165:H168"/>
    <mergeCell ref="B169:B171"/>
    <mergeCell ref="F165:F168"/>
    <mergeCell ref="G165:G168"/>
    <mergeCell ref="Q172:Q174"/>
    <mergeCell ref="Q175:Q177"/>
    <mergeCell ref="D176:E176"/>
    <mergeCell ref="D177:E177"/>
    <mergeCell ref="H175:H177"/>
    <mergeCell ref="M172:M174"/>
    <mergeCell ref="D174:E174"/>
    <mergeCell ref="H172:H174"/>
    <mergeCell ref="L172:L174"/>
    <mergeCell ref="P172:P174"/>
    <mergeCell ref="P175:P177"/>
    <mergeCell ref="J182:J183"/>
    <mergeCell ref="L178:L180"/>
    <mergeCell ref="M178:M180"/>
    <mergeCell ref="N178:N180"/>
    <mergeCell ref="J178:J180"/>
    <mergeCell ref="K178:K180"/>
    <mergeCell ref="L182:L183"/>
    <mergeCell ref="O178:O180"/>
    <mergeCell ref="J175:J177"/>
    <mergeCell ref="G175:G177"/>
    <mergeCell ref="O175:O177"/>
    <mergeCell ref="I175:I177"/>
    <mergeCell ref="K175:K177"/>
    <mergeCell ref="L175:L177"/>
    <mergeCell ref="N175:N177"/>
    <mergeCell ref="M175:M177"/>
    <mergeCell ref="M191:M193"/>
    <mergeCell ref="P178:P180"/>
    <mergeCell ref="Q182:Q183"/>
    <mergeCell ref="D183:E183"/>
    <mergeCell ref="D181:E181"/>
    <mergeCell ref="Q178:Q180"/>
    <mergeCell ref="Q184:Q186"/>
    <mergeCell ref="D182:E182"/>
    <mergeCell ref="H182:H183"/>
    <mergeCell ref="I182:I183"/>
    <mergeCell ref="A182:A183"/>
    <mergeCell ref="D187:E187"/>
    <mergeCell ref="A191:A193"/>
    <mergeCell ref="J191:J193"/>
    <mergeCell ref="Q194:Q197"/>
    <mergeCell ref="N191:N193"/>
    <mergeCell ref="O191:O193"/>
    <mergeCell ref="P191:P193"/>
    <mergeCell ref="Q191:Q193"/>
    <mergeCell ref="K191:K193"/>
    <mergeCell ref="Q200:Q201"/>
    <mergeCell ref="Q202:Q203"/>
    <mergeCell ref="A175:A177"/>
    <mergeCell ref="A194:A197"/>
    <mergeCell ref="C175:C177"/>
    <mergeCell ref="D175:E175"/>
    <mergeCell ref="G191:G193"/>
    <mergeCell ref="D192:E192"/>
    <mergeCell ref="D193:E193"/>
    <mergeCell ref="G194:G197"/>
    <mergeCell ref="D200:E201"/>
    <mergeCell ref="F200:F201"/>
    <mergeCell ref="K202:K203"/>
    <mergeCell ref="L202:L203"/>
    <mergeCell ref="J200:J201"/>
    <mergeCell ref="H194:H197"/>
    <mergeCell ref="I194:I197"/>
    <mergeCell ref="J194:J197"/>
    <mergeCell ref="D198:E198"/>
    <mergeCell ref="G200:G201"/>
    <mergeCell ref="L221:L222"/>
    <mergeCell ref="I223:I224"/>
    <mergeCell ref="O202:O203"/>
    <mergeCell ref="P202:P203"/>
    <mergeCell ref="J221:J222"/>
    <mergeCell ref="M213:M214"/>
    <mergeCell ref="N213:N214"/>
    <mergeCell ref="O213:O214"/>
    <mergeCell ref="M202:M203"/>
    <mergeCell ref="N202:N203"/>
    <mergeCell ref="H204:H208"/>
    <mergeCell ref="D223:E223"/>
    <mergeCell ref="G223:G224"/>
    <mergeCell ref="H223:H224"/>
    <mergeCell ref="D224:E224"/>
    <mergeCell ref="H221:H222"/>
    <mergeCell ref="D210:E210"/>
    <mergeCell ref="G215:G216"/>
    <mergeCell ref="G217:G218"/>
    <mergeCell ref="F221:F222"/>
    <mergeCell ref="A221:A222"/>
    <mergeCell ref="B221:B222"/>
    <mergeCell ref="C221:C222"/>
    <mergeCell ref="D209:E209"/>
    <mergeCell ref="A219:A220"/>
    <mergeCell ref="B219:B220"/>
    <mergeCell ref="D219:E220"/>
    <mergeCell ref="A223:A224"/>
    <mergeCell ref="B223:B224"/>
    <mergeCell ref="C223:C224"/>
    <mergeCell ref="D212:E212"/>
    <mergeCell ref="A215:A216"/>
    <mergeCell ref="D221:E222"/>
    <mergeCell ref="A213:A214"/>
    <mergeCell ref="B213:B214"/>
    <mergeCell ref="C213:C214"/>
    <mergeCell ref="A217:A218"/>
    <mergeCell ref="H215:H216"/>
    <mergeCell ref="B215:B216"/>
    <mergeCell ref="C215:C216"/>
    <mergeCell ref="D215:E216"/>
    <mergeCell ref="F215:F216"/>
    <mergeCell ref="F219:F220"/>
    <mergeCell ref="H219:H220"/>
    <mergeCell ref="C219:C220"/>
    <mergeCell ref="B217:B218"/>
    <mergeCell ref="C217:C218"/>
    <mergeCell ref="J223:J224"/>
    <mergeCell ref="L223:L224"/>
    <mergeCell ref="L225:L226"/>
    <mergeCell ref="Q223:Q224"/>
    <mergeCell ref="D211:E211"/>
    <mergeCell ref="G221:G222"/>
    <mergeCell ref="I221:I222"/>
    <mergeCell ref="L219:L220"/>
    <mergeCell ref="Q219:Q220"/>
    <mergeCell ref="J213:J214"/>
    <mergeCell ref="A225:A226"/>
    <mergeCell ref="Q227:Q228"/>
    <mergeCell ref="F225:F226"/>
    <mergeCell ref="G225:G226"/>
    <mergeCell ref="H225:H226"/>
    <mergeCell ref="I225:I226"/>
    <mergeCell ref="A227:A228"/>
    <mergeCell ref="B227:B228"/>
    <mergeCell ref="C227:C228"/>
    <mergeCell ref="D227:E228"/>
    <mergeCell ref="F227:F228"/>
    <mergeCell ref="G227:G228"/>
    <mergeCell ref="B252:B253"/>
    <mergeCell ref="C252:C253"/>
    <mergeCell ref="D252:E252"/>
    <mergeCell ref="H252:H253"/>
    <mergeCell ref="D248:E249"/>
    <mergeCell ref="F248:F249"/>
    <mergeCell ref="H248:H249"/>
    <mergeCell ref="G248:G249"/>
    <mergeCell ref="I252:I253"/>
    <mergeCell ref="Q225:Q226"/>
    <mergeCell ref="H227:H228"/>
    <mergeCell ref="Q252:Q253"/>
    <mergeCell ref="D253:E253"/>
    <mergeCell ref="I227:I228"/>
    <mergeCell ref="H231:H232"/>
    <mergeCell ref="I231:I232"/>
    <mergeCell ref="J231:J232"/>
    <mergeCell ref="L231:L232"/>
    <mergeCell ref="P213:P214"/>
    <mergeCell ref="Q213:Q214"/>
    <mergeCell ref="D214:E214"/>
    <mergeCell ref="K213:K214"/>
    <mergeCell ref="L213:L214"/>
    <mergeCell ref="Q229:Q230"/>
    <mergeCell ref="D230:E230"/>
    <mergeCell ref="D213:E213"/>
    <mergeCell ref="H213:H214"/>
    <mergeCell ref="D217:E218"/>
    <mergeCell ref="A229:A230"/>
    <mergeCell ref="B229:B230"/>
    <mergeCell ref="C229:C230"/>
    <mergeCell ref="D229:E229"/>
    <mergeCell ref="H229:H230"/>
    <mergeCell ref="L229:L230"/>
    <mergeCell ref="I229:I230"/>
    <mergeCell ref="A231:A232"/>
    <mergeCell ref="B231:B232"/>
    <mergeCell ref="C231:C232"/>
    <mergeCell ref="D231:E232"/>
    <mergeCell ref="F231:F232"/>
    <mergeCell ref="G231:G232"/>
    <mergeCell ref="Q231:Q232"/>
    <mergeCell ref="A233:A234"/>
    <mergeCell ref="B233:B234"/>
    <mergeCell ref="C233:C234"/>
    <mergeCell ref="D233:E234"/>
    <mergeCell ref="F233:F234"/>
    <mergeCell ref="G233:G234"/>
    <mergeCell ref="H233:H234"/>
    <mergeCell ref="J233:J234"/>
    <mergeCell ref="L233:L234"/>
    <mergeCell ref="Q233:Q234"/>
    <mergeCell ref="A235:A236"/>
    <mergeCell ref="B235:B236"/>
    <mergeCell ref="C235:C236"/>
    <mergeCell ref="D235:E236"/>
    <mergeCell ref="F235:F236"/>
    <mergeCell ref="G235:G236"/>
    <mergeCell ref="A237:A238"/>
    <mergeCell ref="B237:B238"/>
    <mergeCell ref="C237:C238"/>
    <mergeCell ref="D237:E238"/>
    <mergeCell ref="F237:F238"/>
    <mergeCell ref="I233:I234"/>
    <mergeCell ref="I237:I238"/>
    <mergeCell ref="J237:J238"/>
    <mergeCell ref="L237:L238"/>
    <mergeCell ref="Q237:Q238"/>
    <mergeCell ref="H235:H236"/>
    <mergeCell ref="I235:I236"/>
    <mergeCell ref="J235:J236"/>
    <mergeCell ref="L235:L236"/>
    <mergeCell ref="Q235:Q236"/>
    <mergeCell ref="Q254:Q255"/>
    <mergeCell ref="D255:E255"/>
    <mergeCell ref="I248:I249"/>
    <mergeCell ref="J248:J249"/>
    <mergeCell ref="L248:L249"/>
    <mergeCell ref="D239:E239"/>
    <mergeCell ref="D254:E254"/>
    <mergeCell ref="G254:G255"/>
    <mergeCell ref="G240:G241"/>
    <mergeCell ref="G242:G243"/>
    <mergeCell ref="G256:G257"/>
    <mergeCell ref="A248:A249"/>
    <mergeCell ref="H254:H255"/>
    <mergeCell ref="I254:I255"/>
    <mergeCell ref="J254:J255"/>
    <mergeCell ref="L254:L255"/>
    <mergeCell ref="A254:A255"/>
    <mergeCell ref="B254:B255"/>
    <mergeCell ref="C254:C255"/>
    <mergeCell ref="A252:A253"/>
    <mergeCell ref="I256:I257"/>
    <mergeCell ref="J256:J257"/>
    <mergeCell ref="L256:L257"/>
    <mergeCell ref="Q256:Q257"/>
    <mergeCell ref="A240:A241"/>
    <mergeCell ref="B240:B241"/>
    <mergeCell ref="C240:C241"/>
    <mergeCell ref="D240:E241"/>
    <mergeCell ref="F240:F241"/>
    <mergeCell ref="A256:A257"/>
    <mergeCell ref="A242:A243"/>
    <mergeCell ref="B242:B243"/>
    <mergeCell ref="C242:C243"/>
    <mergeCell ref="D242:E243"/>
    <mergeCell ref="F242:F243"/>
    <mergeCell ref="H256:H257"/>
    <mergeCell ref="B256:B257"/>
    <mergeCell ref="C256:C257"/>
    <mergeCell ref="D256:E257"/>
    <mergeCell ref="F256:F257"/>
    <mergeCell ref="L242:L243"/>
    <mergeCell ref="H240:H241"/>
    <mergeCell ref="I240:I241"/>
    <mergeCell ref="J240:J241"/>
    <mergeCell ref="L240:L241"/>
    <mergeCell ref="Q240:Q241"/>
    <mergeCell ref="Q246:Q247"/>
    <mergeCell ref="Q242:Q243"/>
    <mergeCell ref="A244:A245"/>
    <mergeCell ref="B244:B245"/>
    <mergeCell ref="C244:C245"/>
    <mergeCell ref="D244:E245"/>
    <mergeCell ref="F244:F245"/>
    <mergeCell ref="Q244:Q245"/>
    <mergeCell ref="J244:J245"/>
    <mergeCell ref="J242:J243"/>
    <mergeCell ref="A246:A247"/>
    <mergeCell ref="B246:B247"/>
    <mergeCell ref="C246:C247"/>
    <mergeCell ref="D246:E247"/>
    <mergeCell ref="F246:F247"/>
    <mergeCell ref="G246:G247"/>
    <mergeCell ref="Q248:Q249"/>
    <mergeCell ref="H246:H247"/>
    <mergeCell ref="I246:I247"/>
    <mergeCell ref="J246:J247"/>
    <mergeCell ref="L246:L247"/>
    <mergeCell ref="Q215:Q216"/>
    <mergeCell ref="H217:H218"/>
    <mergeCell ref="I217:I218"/>
    <mergeCell ref="J217:J218"/>
    <mergeCell ref="L217:L218"/>
    <mergeCell ref="F250:F251"/>
    <mergeCell ref="G250:G251"/>
    <mergeCell ref="I215:I216"/>
    <mergeCell ref="H250:H251"/>
    <mergeCell ref="I250:I251"/>
    <mergeCell ref="H244:H245"/>
    <mergeCell ref="I244:I245"/>
    <mergeCell ref="G244:G245"/>
    <mergeCell ref="G237:G238"/>
    <mergeCell ref="H237:H238"/>
    <mergeCell ref="A250:A251"/>
    <mergeCell ref="B250:B251"/>
    <mergeCell ref="C250:C251"/>
    <mergeCell ref="D250:E251"/>
    <mergeCell ref="B248:B249"/>
    <mergeCell ref="C248:C249"/>
    <mergeCell ref="D258:E258"/>
    <mergeCell ref="A259:A261"/>
    <mergeCell ref="B259:B261"/>
    <mergeCell ref="C259:C261"/>
    <mergeCell ref="D259:E259"/>
    <mergeCell ref="G259:G261"/>
    <mergeCell ref="D264:E264"/>
    <mergeCell ref="Q259:Q261"/>
    <mergeCell ref="D260:E260"/>
    <mergeCell ref="D261:E261"/>
    <mergeCell ref="D262:E262"/>
    <mergeCell ref="Q217:Q218"/>
    <mergeCell ref="H259:H261"/>
    <mergeCell ref="I259:I261"/>
    <mergeCell ref="Q250:Q251"/>
    <mergeCell ref="F217:F218"/>
    <mergeCell ref="B269:B271"/>
    <mergeCell ref="C269:C271"/>
    <mergeCell ref="D269:E271"/>
    <mergeCell ref="F269:F271"/>
    <mergeCell ref="A265:A268"/>
    <mergeCell ref="B265:B268"/>
    <mergeCell ref="C265:C268"/>
    <mergeCell ref="Q269:Q271"/>
    <mergeCell ref="H269:H271"/>
    <mergeCell ref="I269:I271"/>
    <mergeCell ref="D265:E268"/>
    <mergeCell ref="F265:F268"/>
    <mergeCell ref="G265:G268"/>
    <mergeCell ref="H265:H268"/>
    <mergeCell ref="J269:J271"/>
    <mergeCell ref="I265:I268"/>
    <mergeCell ref="J265:J268"/>
    <mergeCell ref="J252:J253"/>
    <mergeCell ref="L252:L253"/>
    <mergeCell ref="A272:A273"/>
    <mergeCell ref="B272:B273"/>
    <mergeCell ref="C272:C273"/>
    <mergeCell ref="D272:E272"/>
    <mergeCell ref="G272:G273"/>
    <mergeCell ref="G269:G271"/>
    <mergeCell ref="D263:E263"/>
    <mergeCell ref="A269:A271"/>
    <mergeCell ref="P142:P144"/>
    <mergeCell ref="Q142:Q144"/>
    <mergeCell ref="M280:M281"/>
    <mergeCell ref="H272:H273"/>
    <mergeCell ref="L272:L273"/>
    <mergeCell ref="H242:H243"/>
    <mergeCell ref="I242:I243"/>
    <mergeCell ref="I272:I273"/>
    <mergeCell ref="K280:K281"/>
    <mergeCell ref="L244:L245"/>
    <mergeCell ref="O280:O281"/>
    <mergeCell ref="M272:M273"/>
    <mergeCell ref="Q52:Q56"/>
    <mergeCell ref="O272:O273"/>
    <mergeCell ref="P272:P273"/>
    <mergeCell ref="Q272:Q273"/>
    <mergeCell ref="Q265:Q268"/>
    <mergeCell ref="Q277:Q278"/>
    <mergeCell ref="Q96:Q97"/>
    <mergeCell ref="Q61:Q62"/>
    <mergeCell ref="L227:L228"/>
    <mergeCell ref="J225:J226"/>
    <mergeCell ref="Q280:Q281"/>
    <mergeCell ref="J259:J261"/>
    <mergeCell ref="L259:L261"/>
    <mergeCell ref="J250:J251"/>
    <mergeCell ref="L250:L251"/>
    <mergeCell ref="N280:N281"/>
    <mergeCell ref="P280:P281"/>
    <mergeCell ref="N272:N273"/>
    <mergeCell ref="L277:L278"/>
    <mergeCell ref="H277:H278"/>
    <mergeCell ref="I277:I278"/>
    <mergeCell ref="F277:F278"/>
    <mergeCell ref="G277:G278"/>
    <mergeCell ref="K272:K273"/>
    <mergeCell ref="L280:L281"/>
    <mergeCell ref="J277:J278"/>
    <mergeCell ref="J272:J273"/>
    <mergeCell ref="D273:E273"/>
    <mergeCell ref="I280:I281"/>
    <mergeCell ref="J280:J281"/>
    <mergeCell ref="H280:H281"/>
    <mergeCell ref="D281:E281"/>
    <mergeCell ref="D280:E280"/>
    <mergeCell ref="G280:G281"/>
    <mergeCell ref="A282:C282"/>
    <mergeCell ref="D282:E282"/>
    <mergeCell ref="A280:A281"/>
    <mergeCell ref="B280:B281"/>
    <mergeCell ref="C280:C281"/>
    <mergeCell ref="A277:A278"/>
    <mergeCell ref="B277:B278"/>
    <mergeCell ref="C277:C278"/>
    <mergeCell ref="D279:E279"/>
    <mergeCell ref="D277:E278"/>
    <mergeCell ref="L127:L129"/>
    <mergeCell ref="J114:J116"/>
    <mergeCell ref="J215:J216"/>
    <mergeCell ref="I142:I144"/>
    <mergeCell ref="K138:K140"/>
    <mergeCell ref="I131:I133"/>
    <mergeCell ref="J145:J147"/>
    <mergeCell ref="J138:J140"/>
    <mergeCell ref="L191:L193"/>
    <mergeCell ref="J52:J56"/>
    <mergeCell ref="L52:L55"/>
    <mergeCell ref="L215:L216"/>
    <mergeCell ref="H23:H26"/>
    <mergeCell ref="J229:J230"/>
    <mergeCell ref="J227:J228"/>
    <mergeCell ref="I213:I214"/>
    <mergeCell ref="K61:K62"/>
    <mergeCell ref="J68:J69"/>
    <mergeCell ref="K85:K86"/>
    <mergeCell ref="B225:B226"/>
    <mergeCell ref="C225:C226"/>
    <mergeCell ref="J23:J26"/>
    <mergeCell ref="J184:J186"/>
    <mergeCell ref="I159:I161"/>
    <mergeCell ref="D225:E226"/>
    <mergeCell ref="B200:B201"/>
    <mergeCell ref="B194:B197"/>
    <mergeCell ref="C194:C197"/>
    <mergeCell ref="D194:E197"/>
    <mergeCell ref="B175:B177"/>
    <mergeCell ref="D199:E199"/>
    <mergeCell ref="D189:E189"/>
    <mergeCell ref="D188:E188"/>
    <mergeCell ref="B191:B193"/>
    <mergeCell ref="C191:C193"/>
    <mergeCell ref="B182:B183"/>
    <mergeCell ref="C182:C183"/>
    <mergeCell ref="B127:B129"/>
    <mergeCell ref="B85:B86"/>
    <mergeCell ref="C85:C86"/>
    <mergeCell ref="B135:B137"/>
    <mergeCell ref="C117:C120"/>
    <mergeCell ref="C98:C99"/>
    <mergeCell ref="C127:C129"/>
    <mergeCell ref="C138:C140"/>
    <mergeCell ref="A159:A161"/>
    <mergeCell ref="B159:B161"/>
    <mergeCell ref="C159:C161"/>
    <mergeCell ref="D85:E85"/>
    <mergeCell ref="D141:E141"/>
    <mergeCell ref="I127:I129"/>
    <mergeCell ref="H135:H137"/>
    <mergeCell ref="H159:H161"/>
    <mergeCell ref="G157:G158"/>
    <mergeCell ref="A157:A158"/>
    <mergeCell ref="O96:O97"/>
    <mergeCell ref="J135:J137"/>
    <mergeCell ref="J121:J123"/>
    <mergeCell ref="G117:G120"/>
    <mergeCell ref="I135:I137"/>
    <mergeCell ref="M135:M137"/>
    <mergeCell ref="I117:I120"/>
    <mergeCell ref="O127:O129"/>
    <mergeCell ref="L135:L137"/>
    <mergeCell ref="L96:L97"/>
    <mergeCell ref="A202:A203"/>
    <mergeCell ref="B202:B203"/>
    <mergeCell ref="C202:C203"/>
    <mergeCell ref="D202:E202"/>
    <mergeCell ref="D138:E138"/>
    <mergeCell ref="A200:A201"/>
    <mergeCell ref="D191:E191"/>
    <mergeCell ref="D190:E190"/>
    <mergeCell ref="D159:E161"/>
    <mergeCell ref="B138:B140"/>
    <mergeCell ref="D86:E86"/>
    <mergeCell ref="D124:E124"/>
    <mergeCell ref="J117:J120"/>
    <mergeCell ref="D84:E84"/>
    <mergeCell ref="K96:K97"/>
    <mergeCell ref="D102:E102"/>
    <mergeCell ref="D100:E100"/>
    <mergeCell ref="D95:E95"/>
    <mergeCell ref="N96:N97"/>
    <mergeCell ref="J142:J144"/>
    <mergeCell ref="L85:L86"/>
    <mergeCell ref="N142:N144"/>
    <mergeCell ref="N85:N86"/>
    <mergeCell ref="K127:K129"/>
    <mergeCell ref="M96:M97"/>
    <mergeCell ref="L121:L123"/>
    <mergeCell ref="P96:P97"/>
    <mergeCell ref="N135:N137"/>
    <mergeCell ref="O142:O144"/>
    <mergeCell ref="Q204:Q208"/>
    <mergeCell ref="F206:F207"/>
    <mergeCell ref="J127:J129"/>
    <mergeCell ref="H96:H97"/>
    <mergeCell ref="I96:I97"/>
    <mergeCell ref="J96:J97"/>
    <mergeCell ref="G109:G111"/>
    <mergeCell ref="D208:E208"/>
    <mergeCell ref="D203:E203"/>
    <mergeCell ref="I202:I203"/>
    <mergeCell ref="J202:J203"/>
    <mergeCell ref="D206:E207"/>
    <mergeCell ref="G204:G208"/>
    <mergeCell ref="G202:G203"/>
    <mergeCell ref="H202:H203"/>
    <mergeCell ref="J204:J208"/>
    <mergeCell ref="I204:I208"/>
    <mergeCell ref="D52:E56"/>
    <mergeCell ref="F52:F56"/>
    <mergeCell ref="D70:E70"/>
    <mergeCell ref="G135:G137"/>
    <mergeCell ref="H131:H133"/>
    <mergeCell ref="G138:G140"/>
    <mergeCell ref="F80:F82"/>
    <mergeCell ref="G80:G82"/>
    <mergeCell ref="D65:E65"/>
    <mergeCell ref="H52:H56"/>
    <mergeCell ref="A204:A208"/>
    <mergeCell ref="B204:B208"/>
    <mergeCell ref="C204:C208"/>
    <mergeCell ref="D204:E205"/>
    <mergeCell ref="F204:F205"/>
    <mergeCell ref="D64:E64"/>
    <mergeCell ref="C200:C201"/>
    <mergeCell ref="B162:B164"/>
    <mergeCell ref="D121:E121"/>
    <mergeCell ref="D129:E129"/>
    <mergeCell ref="D116:E116"/>
    <mergeCell ref="H151:H153"/>
    <mergeCell ref="I151:I153"/>
    <mergeCell ref="I145:I147"/>
    <mergeCell ref="D149:E149"/>
    <mergeCell ref="H138:H140"/>
    <mergeCell ref="D151:E151"/>
    <mergeCell ref="G151:G153"/>
    <mergeCell ref="I148:I150"/>
    <mergeCell ref="B52:B56"/>
    <mergeCell ref="C52:C56"/>
    <mergeCell ref="B157:B158"/>
    <mergeCell ref="C157:C158"/>
    <mergeCell ref="D157:E158"/>
    <mergeCell ref="F157:F158"/>
    <mergeCell ref="C121:C123"/>
    <mergeCell ref="D108:E108"/>
    <mergeCell ref="D114:E114"/>
    <mergeCell ref="G154:G156"/>
    <mergeCell ref="D150:E150"/>
    <mergeCell ref="A154:A156"/>
    <mergeCell ref="B154:B156"/>
    <mergeCell ref="C154:C156"/>
    <mergeCell ref="D154:E156"/>
    <mergeCell ref="F154:F156"/>
    <mergeCell ref="A151:A153"/>
    <mergeCell ref="B151:B153"/>
    <mergeCell ref="C151:C153"/>
  </mergeCells>
  <printOptions/>
  <pageMargins left="0.3937007874015748" right="0.15748031496062992" top="0.35433070866141736" bottom="0.2755905511811024" header="0.1968503937007874" footer="0"/>
  <pageSetup fitToHeight="0" fitToWidth="1" horizontalDpi="600" verticalDpi="600" orientation="landscape" paperSize="9" scale="44" r:id="rId1"/>
  <headerFooter alignWithMargins="0">
    <oddHeader>&amp;C&amp;P</oddHeader>
  </headerFooter>
  <rowBreaks count="8" manualBreakCount="8">
    <brk id="126" max="16" man="1"/>
    <brk id="140" max="16" man="1"/>
    <brk id="164" max="16" man="1"/>
    <brk id="181" max="16" man="1"/>
    <brk id="212" max="16" man="1"/>
    <brk id="230" max="16" man="1"/>
    <brk id="253" max="16" man="1"/>
    <brk id="2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</dc:creator>
  <cp:keywords/>
  <dc:description/>
  <cp:lastModifiedBy>Гаранина</cp:lastModifiedBy>
  <cp:lastPrinted>2019-10-31T12:15:00Z</cp:lastPrinted>
  <dcterms:created xsi:type="dcterms:W3CDTF">2009-12-11T10:16:27Z</dcterms:created>
  <dcterms:modified xsi:type="dcterms:W3CDTF">2019-11-06T07:14:53Z</dcterms:modified>
  <cp:category/>
  <cp:version/>
  <cp:contentType/>
  <cp:contentStatus/>
</cp:coreProperties>
</file>